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rcbor\Dropbox\Projects\Orlando\Reports\Final Report\"/>
    </mc:Choice>
  </mc:AlternateContent>
  <xr:revisionPtr revIDLastSave="0" documentId="8_{35593F31-C4AA-427B-B223-CDB0EBF88E0C}" xr6:coauthVersionLast="40" xr6:coauthVersionMax="40" xr10:uidLastSave="{00000000-0000-0000-0000-000000000000}"/>
  <bookViews>
    <workbookView xWindow="-45" yWindow="-60" windowWidth="11805" windowHeight="11025" activeTab="3" xr2:uid="{00000000-000D-0000-FFFF-FFFF00000000}"/>
  </bookViews>
  <sheets>
    <sheet name="Info" sheetId="3" r:id="rId1"/>
    <sheet name="Alkali Properties" sheetId="6" r:id="rId2"/>
    <sheet name="Net H+ Production" sheetId="8" r:id="rId3"/>
    <sheet name="Aquifer Buffering Capacity" sheetId="9"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0" i="3" l="1"/>
  <c r="H17" i="3" l="1"/>
  <c r="H20" i="3" l="1"/>
  <c r="H7" i="6" s="1"/>
  <c r="H21" i="3"/>
  <c r="H8" i="6" s="1"/>
  <c r="H22" i="3"/>
  <c r="H9" i="6" s="1"/>
  <c r="H23" i="3"/>
  <c r="H10" i="6" s="1"/>
  <c r="H24" i="3"/>
  <c r="H11" i="6" s="1"/>
  <c r="H25" i="3"/>
  <c r="H12" i="6" s="1"/>
  <c r="I5" i="8"/>
  <c r="I6" i="8"/>
  <c r="I7" i="8"/>
  <c r="I8" i="8"/>
  <c r="I9" i="8"/>
  <c r="I10" i="8"/>
  <c r="I11" i="8"/>
  <c r="I12" i="8"/>
  <c r="I13" i="8"/>
  <c r="I14" i="8"/>
  <c r="I15" i="8"/>
  <c r="I16" i="8"/>
  <c r="I4" i="8"/>
  <c r="E29" i="3"/>
  <c r="E28" i="3"/>
  <c r="B32" i="3" l="1"/>
  <c r="B31" i="3"/>
  <c r="B23" i="3"/>
  <c r="B34" i="3" l="1"/>
  <c r="B1" i="8"/>
  <c r="B3" i="6"/>
  <c r="G29" i="3"/>
  <c r="G5" i="3"/>
  <c r="G6" i="3"/>
  <c r="G7" i="3"/>
  <c r="G8" i="3"/>
  <c r="G9" i="3"/>
  <c r="G10" i="3"/>
  <c r="G12" i="3"/>
  <c r="H18" i="3"/>
  <c r="J10" i="8" s="1"/>
  <c r="H16" i="3"/>
  <c r="J8" i="8" s="1"/>
  <c r="H19" i="3"/>
  <c r="J11" i="8" s="1"/>
  <c r="J9" i="8"/>
  <c r="L9" i="8" l="1"/>
  <c r="L11" i="8"/>
  <c r="L8" i="8"/>
  <c r="L10" i="8"/>
  <c r="G6" i="8"/>
  <c r="G7" i="8"/>
  <c r="G13" i="8"/>
  <c r="G4" i="8"/>
  <c r="G14" i="8"/>
  <c r="G15" i="8"/>
  <c r="G5" i="8"/>
  <c r="G12" i="8"/>
  <c r="G8" i="6"/>
  <c r="I8" i="6" s="1"/>
  <c r="G11" i="6"/>
  <c r="I11" i="6" s="1"/>
  <c r="G12" i="6"/>
  <c r="I12" i="6" s="1"/>
  <c r="G7" i="6"/>
  <c r="I7" i="6" s="1"/>
  <c r="B4" i="6"/>
  <c r="F9" i="6" s="1"/>
  <c r="B2" i="8"/>
  <c r="F16" i="8" s="1"/>
  <c r="G16" i="8" s="1"/>
  <c r="L19" i="8" l="1"/>
  <c r="F10" i="6"/>
  <c r="G9" i="6"/>
  <c r="F8" i="8"/>
  <c r="G8" i="8" s="1"/>
  <c r="K8" i="8" s="1"/>
  <c r="F9" i="8"/>
  <c r="G9" i="8" s="1"/>
  <c r="K9" i="8" s="1"/>
  <c r="F11" i="8"/>
  <c r="G11" i="8" s="1"/>
  <c r="K11" i="8" s="1"/>
  <c r="F10" i="8"/>
  <c r="G10" i="8" s="1"/>
  <c r="K10" i="8" s="1"/>
  <c r="I9" i="6" l="1"/>
  <c r="G10" i="6"/>
  <c r="D9" i="3"/>
  <c r="D10" i="3"/>
  <c r="B22" i="3"/>
  <c r="B24" i="3" s="1"/>
  <c r="I10" i="6" l="1"/>
  <c r="I14" i="6" s="1"/>
  <c r="I34" i="3" s="1"/>
  <c r="K19" i="8"/>
  <c r="I31" i="3" s="1"/>
  <c r="I28" i="3"/>
  <c r="D22" i="3"/>
  <c r="B25" i="3"/>
  <c r="J9" i="3" l="1"/>
  <c r="J12" i="8" s="1"/>
  <c r="J12" i="3"/>
  <c r="J15" i="8" s="1"/>
  <c r="J10" i="3"/>
  <c r="J13" i="8" s="1"/>
  <c r="D24" i="3"/>
  <c r="D23" i="3"/>
  <c r="K13" i="8" l="1"/>
  <c r="L13" i="8"/>
  <c r="K15" i="8"/>
  <c r="L15" i="8"/>
  <c r="K12" i="8"/>
  <c r="L12" i="8"/>
  <c r="D18" i="3"/>
  <c r="D19" i="3"/>
  <c r="D17" i="3"/>
  <c r="B13" i="3"/>
  <c r="D13" i="3" l="1"/>
  <c r="B21" i="3"/>
  <c r="J6" i="3" s="1"/>
  <c r="D20" i="3"/>
  <c r="J5" i="8" l="1"/>
  <c r="J8" i="3"/>
  <c r="J7" i="8" s="1"/>
  <c r="J11" i="3"/>
  <c r="J7" i="3"/>
  <c r="J6" i="8" s="1"/>
  <c r="J5" i="3"/>
  <c r="J4" i="8" s="1"/>
  <c r="B36" i="3"/>
  <c r="I29" i="3" s="1"/>
  <c r="D21" i="3"/>
  <c r="K4" i="8" l="1"/>
  <c r="L4" i="8"/>
  <c r="K6" i="8"/>
  <c r="L6" i="8"/>
  <c r="K7" i="8"/>
  <c r="L7" i="8"/>
  <c r="K5" i="8"/>
  <c r="L5" i="8"/>
  <c r="J14" i="8"/>
  <c r="K18" i="8" l="1"/>
  <c r="I30" i="3" s="1"/>
  <c r="L18" i="8"/>
  <c r="K14" i="8"/>
  <c r="L14" i="8"/>
  <c r="L16" i="8" s="1"/>
  <c r="J16" i="8" l="1"/>
  <c r="K16" i="8" s="1"/>
  <c r="K20" i="8" s="1"/>
  <c r="L20" i="8"/>
  <c r="I32" i="3" l="1"/>
  <c r="I33" i="3" s="1"/>
  <c r="I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Borden</author>
  </authors>
  <commentList>
    <comment ref="A17" authorId="0" shapeId="0" xr:uid="{00000000-0006-0000-0000-000001000000}">
      <text>
        <r>
          <rPr>
            <sz val="9"/>
            <color indexed="81"/>
            <rFont val="Tahoma"/>
            <family val="2"/>
          </rPr>
          <t>perpendicular to GW flow</t>
        </r>
      </text>
    </comment>
    <comment ref="A18" authorId="0" shapeId="0" xr:uid="{00000000-0006-0000-0000-000002000000}">
      <text>
        <r>
          <rPr>
            <sz val="9"/>
            <color indexed="81"/>
            <rFont val="Tahoma"/>
            <family val="2"/>
          </rPr>
          <t>parrallel to GW flow</t>
        </r>
      </text>
    </comment>
    <comment ref="A19" authorId="0" shapeId="0" xr:uid="{00000000-0006-0000-0000-000003000000}">
      <text>
        <r>
          <rPr>
            <sz val="9"/>
            <color indexed="81"/>
            <rFont val="Tahoma"/>
            <family val="2"/>
          </rPr>
          <t>depth</t>
        </r>
      </text>
    </comment>
    <comment ref="A22" authorId="0" shapeId="0" xr:uid="{00000000-0006-0000-0000-000004000000}">
      <text>
        <r>
          <rPr>
            <sz val="9"/>
            <color indexed="81"/>
            <rFont val="Tahoma"/>
            <family val="2"/>
          </rPr>
          <t xml:space="preserve">treated zone pore volume
</t>
        </r>
      </text>
    </comment>
    <comment ref="A23" authorId="0" shapeId="0" xr:uid="{00000000-0006-0000-0000-000005000000}">
      <text>
        <r>
          <rPr>
            <sz val="9"/>
            <color indexed="81"/>
            <rFont val="Tahoma"/>
            <family val="2"/>
          </rPr>
          <t>volume of GW entering per year</t>
        </r>
      </text>
    </comment>
    <comment ref="A24" authorId="0" shapeId="0" xr:uid="{00000000-0006-0000-0000-000006000000}">
      <text>
        <r>
          <rPr>
            <sz val="9"/>
            <color indexed="81"/>
            <rFont val="Tahoma"/>
            <family val="2"/>
          </rPr>
          <t>Total GW volume treated over the design life</t>
        </r>
      </text>
    </comment>
    <comment ref="A30" authorId="0" shapeId="0" xr:uid="{93D7FF57-4CB6-4D02-80B8-D9A566AFD645}">
      <text>
        <r>
          <rPr>
            <sz val="9"/>
            <color indexed="81"/>
            <rFont val="Tahoma"/>
            <family val="2"/>
          </rPr>
          <t>Commercial laboratories can measure Dissolved Inorganic Carbon (DIC) using a modification of the TOC procedure.</t>
        </r>
      </text>
    </comment>
    <comment ref="A33" authorId="0" shapeId="0" xr:uid="{DAEB5464-C355-4A8C-AE92-C26C2D204881}">
      <text>
        <r>
          <rPr>
            <sz val="9"/>
            <color indexed="81"/>
            <rFont val="Tahoma"/>
            <family val="2"/>
          </rPr>
          <t>Mineral or Methyl Orange acidity (Standard Method 8201) is generated by strong acids including sulfuric, nitric and hydrochloric.   Mineral acidity is measured by titrating with a strong base to pH=3.7.  If the initial pH is greater than 3.7, mineral acidity is zero.</t>
        </r>
      </text>
    </comment>
    <comment ref="A34" authorId="0" shapeId="0" xr:uid="{00000000-0006-0000-0000-000007000000}">
      <text>
        <r>
          <rPr>
            <sz val="9"/>
            <color indexed="81"/>
            <rFont val="Tahoma"/>
            <family val="2"/>
          </rPr>
          <t>Negative values indicate buffering capacity available to prevent pH decline</t>
        </r>
      </text>
    </comment>
    <comment ref="A35" authorId="0" shapeId="0" xr:uid="{E4CA9D9D-3BE3-4A1B-A0F7-4FA351E040BD}">
      <text>
        <r>
          <rPr>
            <sz val="9"/>
            <color indexed="81"/>
            <rFont val="Tahoma"/>
            <family val="2"/>
          </rPr>
          <t xml:space="preserve">Aquifer buffering capacity (pHBC) is due to proton exchange on iron and aluminum oxides.   pHBC is measured by titrating a soil sample with a strong base and measuring the change in pH.  Typical values of pHBC are shown on the Buffering Capacity Tab. 
</t>
        </r>
      </text>
    </comment>
    <comment ref="A36" authorId="0" shapeId="0" xr:uid="{00000000-0006-0000-0000-000008000000}">
      <text>
        <r>
          <rPr>
            <sz val="9"/>
            <color indexed="81"/>
            <rFont val="Tahoma"/>
            <family val="2"/>
          </rPr>
          <t>Negative values indicate buffering capacity available to prevent pH decline</t>
        </r>
      </text>
    </comment>
  </commentList>
</comments>
</file>

<file path=xl/sharedStrings.xml><?xml version="1.0" encoding="utf-8"?>
<sst xmlns="http://schemas.openxmlformats.org/spreadsheetml/2006/main" count="308" uniqueCount="213">
  <si>
    <t>NaOH</t>
  </si>
  <si>
    <t>PCE</t>
  </si>
  <si>
    <t>TCE</t>
  </si>
  <si>
    <t>DCE</t>
  </si>
  <si>
    <t>VC</t>
  </si>
  <si>
    <t>Kg</t>
  </si>
  <si>
    <t>ft</t>
  </si>
  <si>
    <t>L</t>
  </si>
  <si>
    <t>mg/L</t>
  </si>
  <si>
    <t>m</t>
  </si>
  <si>
    <t>L/yr</t>
  </si>
  <si>
    <t>Site Name:</t>
  </si>
  <si>
    <t>Facility Name:</t>
  </si>
  <si>
    <t>Owner:</t>
  </si>
  <si>
    <t>Aquifer Characteristics</t>
  </si>
  <si>
    <t>Description:</t>
  </si>
  <si>
    <t>Hydraulic Gradient:</t>
  </si>
  <si>
    <t>Hydraulic Conductivity:</t>
  </si>
  <si>
    <t>Sediment Specific Gravity:</t>
  </si>
  <si>
    <t>Porosity:</t>
  </si>
  <si>
    <t>Bulk Density:</t>
  </si>
  <si>
    <t>m/m</t>
  </si>
  <si>
    <t>m/d</t>
  </si>
  <si>
    <t>Geochemistry</t>
  </si>
  <si>
    <t>Background pH:</t>
  </si>
  <si>
    <t>Aquifer Buffering Capac.:</t>
  </si>
  <si>
    <t>meq/Kg/pH</t>
  </si>
  <si>
    <t>SU</t>
  </si>
  <si>
    <t>meq/L</t>
  </si>
  <si>
    <t>Width:</t>
  </si>
  <si>
    <t>Length:</t>
  </si>
  <si>
    <t>Vertical Thickness:</t>
  </si>
  <si>
    <t>Volume:</t>
  </si>
  <si>
    <t>Pore Volume:</t>
  </si>
  <si>
    <t>GW Flux:</t>
  </si>
  <si>
    <t>yr</t>
  </si>
  <si>
    <t>Lactic Acid</t>
  </si>
  <si>
    <t>Mineral Acidity:</t>
  </si>
  <si>
    <r>
      <t>m</t>
    </r>
    <r>
      <rPr>
        <vertAlign val="superscript"/>
        <sz val="11"/>
        <color theme="1"/>
        <rFont val="Calibri"/>
        <family val="2"/>
        <scheme val="minor"/>
      </rPr>
      <t>3</t>
    </r>
  </si>
  <si>
    <r>
      <t>ft</t>
    </r>
    <r>
      <rPr>
        <vertAlign val="superscript"/>
        <sz val="11"/>
        <color theme="1"/>
        <rFont val="Calibri"/>
        <family val="2"/>
        <scheme val="minor"/>
      </rPr>
      <t>3</t>
    </r>
  </si>
  <si>
    <t>ft/ft</t>
  </si>
  <si>
    <t>ft/d</t>
  </si>
  <si>
    <t>gal</t>
  </si>
  <si>
    <t>gal/yr</t>
  </si>
  <si>
    <t xml:space="preserve">Design Period: </t>
  </si>
  <si>
    <t>Base</t>
  </si>
  <si>
    <t>Formula</t>
  </si>
  <si>
    <t>MW</t>
  </si>
  <si>
    <t>Solubility</t>
  </si>
  <si>
    <t>Saturated solution pH</t>
  </si>
  <si>
    <t>g/mole</t>
  </si>
  <si>
    <t>g/L</t>
  </si>
  <si>
    <t>Caustic Soda</t>
  </si>
  <si>
    <t>&gt;13</t>
  </si>
  <si>
    <t>Caustic Potash</t>
  </si>
  <si>
    <t>KOH</t>
  </si>
  <si>
    <t>Soda Ash</t>
  </si>
  <si>
    <t>~11.7</t>
  </si>
  <si>
    <t>Baking Soda</t>
  </si>
  <si>
    <t>~8.3</t>
  </si>
  <si>
    <t>Hydrated Lime</t>
  </si>
  <si>
    <t>&gt;12</t>
  </si>
  <si>
    <t>~10.3</t>
  </si>
  <si>
    <t>Reaction</t>
  </si>
  <si>
    <t>Acetic Acid</t>
  </si>
  <si>
    <t>Glucose</t>
  </si>
  <si>
    <t>Soybean Oil</t>
  </si>
  <si>
    <t>Oxygen</t>
  </si>
  <si>
    <t>Nitrate</t>
  </si>
  <si>
    <t>Goethite</t>
  </si>
  <si>
    <t>Sulfate</t>
  </si>
  <si>
    <t>Target pH=</t>
  </si>
  <si>
    <t>α =</t>
  </si>
  <si>
    <t>2(1-α)</t>
  </si>
  <si>
    <t>3(1-α)</t>
  </si>
  <si>
    <t>6(1-α)</t>
  </si>
  <si>
    <t>56(1-α)</t>
  </si>
  <si>
    <t>α-1</t>
  </si>
  <si>
    <t>Methane</t>
  </si>
  <si>
    <t>per mole</t>
  </si>
  <si>
    <t>per Kg</t>
  </si>
  <si>
    <t>NA</t>
  </si>
  <si>
    <t>Influent Acidity</t>
  </si>
  <si>
    <t>lb</t>
  </si>
  <si>
    <t>Total GW Acidity</t>
  </si>
  <si>
    <t xml:space="preserve">Target pH: </t>
  </si>
  <si>
    <t>Base to raise starting pH</t>
  </si>
  <si>
    <t>Total Base Added</t>
  </si>
  <si>
    <t>eq</t>
  </si>
  <si>
    <r>
      <t>α = (1+ 10</t>
    </r>
    <r>
      <rPr>
        <vertAlign val="superscript"/>
        <sz val="11"/>
        <color theme="1"/>
        <rFont val="Calibri"/>
        <family val="2"/>
        <scheme val="minor"/>
      </rPr>
      <t>-6.352</t>
    </r>
    <r>
      <rPr>
        <sz val="11"/>
        <color theme="1"/>
        <rFont val="Calibri"/>
        <family val="2"/>
        <scheme val="minor"/>
      </rPr>
      <t xml:space="preserve"> /[H</t>
    </r>
    <r>
      <rPr>
        <vertAlign val="superscript"/>
        <sz val="11"/>
        <color theme="1"/>
        <rFont val="Calibri"/>
        <family val="2"/>
        <scheme val="minor"/>
      </rPr>
      <t>+</t>
    </r>
    <r>
      <rPr>
        <sz val="11"/>
        <color theme="1"/>
        <rFont val="Calibri"/>
        <family val="2"/>
        <scheme val="minor"/>
      </rPr>
      <t>])</t>
    </r>
    <r>
      <rPr>
        <vertAlign val="superscript"/>
        <sz val="11"/>
        <color theme="1"/>
        <rFont val="Calibri"/>
        <family val="2"/>
        <scheme val="minor"/>
      </rPr>
      <t>-1</t>
    </r>
  </si>
  <si>
    <r>
      <t>OH</t>
    </r>
    <r>
      <rPr>
        <vertAlign val="superscript"/>
        <sz val="11"/>
        <color theme="1"/>
        <rFont val="Calibri"/>
        <family val="2"/>
        <scheme val="minor"/>
      </rPr>
      <t>-</t>
    </r>
    <r>
      <rPr>
        <sz val="11"/>
        <color theme="1"/>
        <rFont val="Calibri"/>
        <family val="2"/>
        <scheme val="minor"/>
      </rPr>
      <t xml:space="preserve"> per mole</t>
    </r>
  </si>
  <si>
    <r>
      <t>OH</t>
    </r>
    <r>
      <rPr>
        <vertAlign val="superscript"/>
        <sz val="11"/>
        <color theme="1"/>
        <rFont val="Calibri"/>
        <family val="2"/>
        <scheme val="minor"/>
      </rPr>
      <t>-</t>
    </r>
    <r>
      <rPr>
        <sz val="11"/>
        <color theme="1"/>
        <rFont val="Calibri"/>
        <family val="2"/>
        <scheme val="minor"/>
      </rPr>
      <t xml:space="preserve"> per Kg</t>
    </r>
  </si>
  <si>
    <r>
      <t>Na</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</si>
  <si>
    <r>
      <t>NaHCO</t>
    </r>
    <r>
      <rPr>
        <vertAlign val="subscript"/>
        <sz val="11"/>
        <color theme="1"/>
        <rFont val="Calibri"/>
        <family val="2"/>
        <scheme val="minor"/>
      </rPr>
      <t>3</t>
    </r>
  </si>
  <si>
    <r>
      <t>Ca(OH)</t>
    </r>
    <r>
      <rPr>
        <vertAlign val="subscript"/>
        <sz val="11"/>
        <color theme="1"/>
        <rFont val="Calibri"/>
        <family val="2"/>
        <scheme val="minor"/>
      </rPr>
      <t>2</t>
    </r>
  </si>
  <si>
    <r>
      <t>Mg(OH)</t>
    </r>
    <r>
      <rPr>
        <vertAlign val="subscript"/>
        <sz val="11"/>
        <color theme="1"/>
        <rFont val="Calibri"/>
        <family val="2"/>
        <scheme val="minor"/>
      </rPr>
      <t>2</t>
    </r>
  </si>
  <si>
    <r>
      <t>H</t>
    </r>
    <r>
      <rPr>
        <vertAlign val="superscript"/>
        <sz val="11"/>
        <color theme="1"/>
        <rFont val="Calibri"/>
        <family val="2"/>
        <scheme val="minor"/>
      </rPr>
      <t>+</t>
    </r>
    <r>
      <rPr>
        <sz val="11"/>
        <color theme="1"/>
        <rFont val="Calibri"/>
        <family val="2"/>
        <scheme val="minor"/>
      </rPr>
      <t xml:space="preserve"> Produced</t>
    </r>
  </si>
  <si>
    <r>
      <t>C</t>
    </r>
    <r>
      <rPr>
        <vertAlign val="subscript"/>
        <sz val="11"/>
        <color theme="1"/>
        <rFont val="Calibri"/>
        <family val="2"/>
        <scheme val="minor"/>
      </rPr>
      <t>2</t>
    </r>
    <r>
      <rPr>
        <sz val="11"/>
        <color theme="1"/>
        <rFont val="Calibri"/>
        <family val="2"/>
        <scheme val="minor"/>
      </rPr>
      <t>Cl</t>
    </r>
    <r>
      <rPr>
        <vertAlign val="subscript"/>
        <sz val="11"/>
        <color theme="1"/>
        <rFont val="Calibri"/>
        <family val="2"/>
        <scheme val="minor"/>
      </rPr>
      <t>4</t>
    </r>
  </si>
  <si>
    <r>
      <t>C</t>
    </r>
    <r>
      <rPr>
        <vertAlign val="subscript"/>
        <sz val="11"/>
        <color theme="1"/>
        <rFont val="Calibri"/>
        <family val="2"/>
        <scheme val="minor"/>
      </rPr>
      <t>2</t>
    </r>
    <r>
      <rPr>
        <sz val="11"/>
        <color theme="1"/>
        <rFont val="Calibri"/>
        <family val="2"/>
        <scheme val="minor"/>
      </rPr>
      <t>HCl</t>
    </r>
    <r>
      <rPr>
        <vertAlign val="subscript"/>
        <sz val="11"/>
        <color theme="1"/>
        <rFont val="Calibri"/>
        <family val="2"/>
        <scheme val="minor"/>
      </rPr>
      <t>3</t>
    </r>
  </si>
  <si>
    <r>
      <t>C</t>
    </r>
    <r>
      <rPr>
        <vertAlign val="subscript"/>
        <sz val="11"/>
        <color theme="1"/>
        <rFont val="Calibri"/>
        <family val="2"/>
        <scheme val="minor"/>
      </rPr>
      <t>2</t>
    </r>
    <r>
      <rPr>
        <sz val="11"/>
        <color theme="1"/>
        <rFont val="Calibri"/>
        <family val="2"/>
        <scheme val="minor"/>
      </rPr>
      <t>HCl</t>
    </r>
    <r>
      <rPr>
        <vertAlign val="subscript"/>
        <sz val="11"/>
        <color theme="1"/>
        <rFont val="Calibri"/>
        <family val="2"/>
        <scheme val="minor"/>
      </rPr>
      <t xml:space="preserve">3 </t>
    </r>
    <r>
      <rPr>
        <sz val="11"/>
        <color theme="1"/>
        <rFont val="Calibri"/>
        <family val="2"/>
        <scheme val="minor"/>
      </rPr>
      <t>+ 3 H</t>
    </r>
    <r>
      <rPr>
        <vertAlign val="subscript"/>
        <sz val="11"/>
        <color theme="1"/>
        <rFont val="Calibri"/>
        <family val="2"/>
        <scheme val="minor"/>
      </rPr>
      <t>2</t>
    </r>
    <r>
      <rPr>
        <sz val="11"/>
        <color theme="1"/>
        <rFont val="Calibri"/>
        <family val="2"/>
        <scheme val="minor"/>
      </rPr>
      <t xml:space="preserve"> →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 xml:space="preserve"> + 3H</t>
    </r>
    <r>
      <rPr>
        <vertAlign val="superscript"/>
        <sz val="11"/>
        <color theme="1"/>
        <rFont val="Calibri"/>
        <family val="2"/>
        <scheme val="minor"/>
      </rPr>
      <t>+</t>
    </r>
    <r>
      <rPr>
        <sz val="11"/>
        <color theme="1"/>
        <rFont val="Calibri"/>
        <family val="2"/>
        <scheme val="minor"/>
      </rPr>
      <t xml:space="preserve"> + 3Cl</t>
    </r>
    <r>
      <rPr>
        <vertAlign val="superscript"/>
        <sz val="11"/>
        <color theme="1"/>
        <rFont val="Calibri"/>
        <family val="2"/>
        <scheme val="minor"/>
      </rPr>
      <t>-</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</si>
  <si>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2</t>
    </r>
    <r>
      <rPr>
        <sz val="11"/>
        <color theme="1"/>
        <rFont val="Calibri"/>
        <family val="2"/>
        <scheme val="minor"/>
      </rPr>
      <t>Cl</t>
    </r>
    <r>
      <rPr>
        <vertAlign val="subscript"/>
        <sz val="11"/>
        <color theme="1"/>
        <rFont val="Calibri"/>
        <family val="2"/>
        <scheme val="minor"/>
      </rPr>
      <t>2</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</si>
  <si>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2</t>
    </r>
    <r>
      <rPr>
        <sz val="11"/>
        <color theme="1"/>
        <rFont val="Calibri"/>
        <family val="2"/>
        <scheme val="minor"/>
      </rPr>
      <t>Cl</t>
    </r>
    <r>
      <rPr>
        <vertAlign val="subscript"/>
        <sz val="11"/>
        <color theme="1"/>
        <rFont val="Calibri"/>
        <family val="2"/>
        <scheme val="minor"/>
      </rPr>
      <t xml:space="preserve">2 </t>
    </r>
    <r>
      <rPr>
        <sz val="11"/>
        <color theme="1"/>
        <rFont val="Calibri"/>
        <family val="2"/>
        <scheme val="minor"/>
      </rPr>
      <t>+ 2 H</t>
    </r>
    <r>
      <rPr>
        <vertAlign val="subscript"/>
        <sz val="11"/>
        <color theme="1"/>
        <rFont val="Calibri"/>
        <family val="2"/>
        <scheme val="minor"/>
      </rPr>
      <t>2</t>
    </r>
    <r>
      <rPr>
        <sz val="11"/>
        <color theme="1"/>
        <rFont val="Calibri"/>
        <family val="2"/>
        <scheme val="minor"/>
      </rPr>
      <t xml:space="preserve"> →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 xml:space="preserve"> + 2H</t>
    </r>
    <r>
      <rPr>
        <vertAlign val="superscript"/>
        <sz val="11"/>
        <color theme="1"/>
        <rFont val="Calibri"/>
        <family val="2"/>
        <scheme val="minor"/>
      </rPr>
      <t>+</t>
    </r>
    <r>
      <rPr>
        <sz val="11"/>
        <color theme="1"/>
        <rFont val="Calibri"/>
        <family val="2"/>
        <scheme val="minor"/>
      </rPr>
      <t xml:space="preserve"> + 2Cl</t>
    </r>
    <r>
      <rPr>
        <vertAlign val="superscript"/>
        <sz val="11"/>
        <color theme="1"/>
        <rFont val="Calibri"/>
        <family val="2"/>
        <scheme val="minor"/>
      </rPr>
      <t>-</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</si>
  <si>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3</t>
    </r>
    <r>
      <rPr>
        <sz val="11"/>
        <color theme="1"/>
        <rFont val="Calibri"/>
        <family val="2"/>
        <scheme val="minor"/>
      </rPr>
      <t>Cl</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</si>
  <si>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3</t>
    </r>
    <r>
      <rPr>
        <sz val="11"/>
        <color theme="1"/>
        <rFont val="Calibri"/>
        <family val="2"/>
        <scheme val="minor"/>
      </rPr>
      <t>Cl</t>
    </r>
    <r>
      <rPr>
        <vertAlign val="subscript"/>
        <sz val="11"/>
        <color theme="1"/>
        <rFont val="Calibri"/>
        <family val="2"/>
        <scheme val="minor"/>
      </rPr>
      <t xml:space="preserve"> </t>
    </r>
    <r>
      <rPr>
        <sz val="11"/>
        <color theme="1"/>
        <rFont val="Calibri"/>
        <family val="2"/>
        <scheme val="minor"/>
      </rPr>
      <t>+ H</t>
    </r>
    <r>
      <rPr>
        <vertAlign val="subscript"/>
        <sz val="11"/>
        <color theme="1"/>
        <rFont val="Calibri"/>
        <family val="2"/>
        <scheme val="minor"/>
      </rPr>
      <t>2</t>
    </r>
    <r>
      <rPr>
        <sz val="11"/>
        <color theme="1"/>
        <rFont val="Calibri"/>
        <family val="2"/>
        <scheme val="minor"/>
      </rPr>
      <t xml:space="preserve"> →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 xml:space="preserve"> + H</t>
    </r>
    <r>
      <rPr>
        <vertAlign val="superscript"/>
        <sz val="11"/>
        <color theme="1"/>
        <rFont val="Calibri"/>
        <family val="2"/>
        <scheme val="minor"/>
      </rPr>
      <t>+</t>
    </r>
    <r>
      <rPr>
        <sz val="11"/>
        <color theme="1"/>
        <rFont val="Calibri"/>
        <family val="2"/>
        <scheme val="minor"/>
      </rPr>
      <t xml:space="preserve"> + Cl</t>
    </r>
    <r>
      <rPr>
        <vertAlign val="superscript"/>
        <sz val="11"/>
        <color theme="1"/>
        <rFont val="Calibri"/>
        <family val="2"/>
        <scheme val="minor"/>
      </rPr>
      <t>-</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</si>
  <si>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O</t>
    </r>
    <r>
      <rPr>
        <vertAlign val="subscript"/>
        <sz val="11"/>
        <color theme="1"/>
        <rFont val="Calibri"/>
        <family val="2"/>
        <scheme val="minor"/>
      </rPr>
      <t>2</t>
    </r>
  </si>
  <si>
    <r>
      <t>C</t>
    </r>
    <r>
      <rPr>
        <vertAlign val="subscript"/>
        <sz val="11"/>
        <color theme="1"/>
        <rFont val="Calibri"/>
        <family val="2"/>
        <scheme val="minor"/>
      </rPr>
      <t>3</t>
    </r>
    <r>
      <rPr>
        <sz val="11"/>
        <color theme="1"/>
        <rFont val="Calibri"/>
        <family val="2"/>
        <scheme val="minor"/>
      </rPr>
      <t>H</t>
    </r>
    <r>
      <rPr>
        <vertAlign val="subscript"/>
        <sz val="11"/>
        <color theme="1"/>
        <rFont val="Calibri"/>
        <family val="2"/>
        <scheme val="minor"/>
      </rPr>
      <t>6</t>
    </r>
    <r>
      <rPr>
        <sz val="11"/>
        <color theme="1"/>
        <rFont val="Calibri"/>
        <family val="2"/>
        <scheme val="minor"/>
      </rPr>
      <t>O</t>
    </r>
    <r>
      <rPr>
        <vertAlign val="subscript"/>
        <sz val="11"/>
        <color theme="1"/>
        <rFont val="Calibri"/>
        <family val="2"/>
        <scheme val="minor"/>
      </rPr>
      <t>3</t>
    </r>
  </si>
  <si>
    <r>
      <t>C</t>
    </r>
    <r>
      <rPr>
        <vertAlign val="subscript"/>
        <sz val="11"/>
        <color theme="1"/>
        <rFont val="Calibri"/>
        <family val="2"/>
        <scheme val="minor"/>
      </rPr>
      <t>6</t>
    </r>
    <r>
      <rPr>
        <sz val="11"/>
        <color theme="1"/>
        <rFont val="Calibri"/>
        <family val="2"/>
        <scheme val="minor"/>
      </rPr>
      <t>H</t>
    </r>
    <r>
      <rPr>
        <vertAlign val="subscript"/>
        <sz val="11"/>
        <color theme="1"/>
        <rFont val="Calibri"/>
        <family val="2"/>
        <scheme val="minor"/>
      </rPr>
      <t>12</t>
    </r>
    <r>
      <rPr>
        <sz val="11"/>
        <color theme="1"/>
        <rFont val="Calibri"/>
        <family val="2"/>
        <scheme val="minor"/>
      </rPr>
      <t>O</t>
    </r>
    <r>
      <rPr>
        <vertAlign val="subscript"/>
        <sz val="11"/>
        <color theme="1"/>
        <rFont val="Calibri"/>
        <family val="2"/>
        <scheme val="minor"/>
      </rPr>
      <t>6</t>
    </r>
  </si>
  <si>
    <r>
      <t>C</t>
    </r>
    <r>
      <rPr>
        <vertAlign val="subscript"/>
        <sz val="11"/>
        <color theme="1"/>
        <rFont val="Calibri"/>
        <family val="2"/>
        <scheme val="minor"/>
      </rPr>
      <t>56</t>
    </r>
    <r>
      <rPr>
        <sz val="11"/>
        <color theme="1"/>
        <rFont val="Calibri"/>
        <family val="2"/>
        <scheme val="minor"/>
      </rPr>
      <t>H</t>
    </r>
    <r>
      <rPr>
        <vertAlign val="subscript"/>
        <sz val="11"/>
        <color theme="1"/>
        <rFont val="Calibri"/>
        <family val="2"/>
        <scheme val="minor"/>
      </rPr>
      <t>100</t>
    </r>
    <r>
      <rPr>
        <sz val="11"/>
        <color theme="1"/>
        <rFont val="Calibri"/>
        <family val="2"/>
        <scheme val="minor"/>
      </rPr>
      <t>O</t>
    </r>
    <r>
      <rPr>
        <vertAlign val="subscript"/>
        <sz val="11"/>
        <color theme="1"/>
        <rFont val="Calibri"/>
        <family val="2"/>
        <scheme val="minor"/>
      </rPr>
      <t>6</t>
    </r>
  </si>
  <si>
    <r>
      <t>O</t>
    </r>
    <r>
      <rPr>
        <vertAlign val="subscript"/>
        <sz val="11"/>
        <color theme="1"/>
        <rFont val="Calibri"/>
        <family val="2"/>
        <scheme val="minor"/>
      </rPr>
      <t>2</t>
    </r>
  </si>
  <si>
    <r>
      <t>NO</t>
    </r>
    <r>
      <rPr>
        <vertAlign val="subscript"/>
        <sz val="11"/>
        <color theme="1"/>
        <rFont val="Calibri"/>
        <family val="2"/>
        <scheme val="minor"/>
      </rPr>
      <t>3</t>
    </r>
    <r>
      <rPr>
        <vertAlign val="superscript"/>
        <sz val="11"/>
        <color theme="1"/>
        <rFont val="Calibri"/>
        <family val="2"/>
        <scheme val="minor"/>
      </rPr>
      <t>-</t>
    </r>
  </si>
  <si>
    <r>
      <t>Fe</t>
    </r>
    <r>
      <rPr>
        <vertAlign val="superscript"/>
        <sz val="11"/>
        <color theme="1"/>
        <rFont val="Calibri"/>
        <family val="2"/>
        <scheme val="minor"/>
      </rPr>
      <t>2+</t>
    </r>
    <r>
      <rPr>
        <sz val="11"/>
        <color theme="1"/>
        <rFont val="Calibri"/>
        <family val="2"/>
        <scheme val="minor"/>
      </rPr>
      <t xml:space="preserve"> </t>
    </r>
  </si>
  <si>
    <r>
      <t>SO</t>
    </r>
    <r>
      <rPr>
        <vertAlign val="subscript"/>
        <sz val="11"/>
        <color theme="1"/>
        <rFont val="Calibri"/>
        <family val="2"/>
        <scheme val="minor"/>
      </rPr>
      <t>4</t>
    </r>
    <r>
      <rPr>
        <vertAlign val="superscript"/>
        <sz val="11"/>
        <color theme="1"/>
        <rFont val="Calibri"/>
        <family val="2"/>
        <scheme val="minor"/>
      </rPr>
      <t>2-</t>
    </r>
  </si>
  <si>
    <r>
      <t>CH</t>
    </r>
    <r>
      <rPr>
        <vertAlign val="subscript"/>
        <sz val="11"/>
        <color theme="1"/>
        <rFont val="Calibri"/>
        <family val="2"/>
        <scheme val="minor"/>
      </rPr>
      <t>4</t>
    </r>
  </si>
  <si>
    <r>
      <t>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O</t>
    </r>
    <r>
      <rPr>
        <vertAlign val="subscript"/>
        <sz val="11"/>
        <color theme="1"/>
        <rFont val="Calibri"/>
        <family val="2"/>
        <scheme val="minor"/>
      </rPr>
      <t>2</t>
    </r>
    <r>
      <rPr>
        <sz val="11"/>
        <color theme="1"/>
        <rFont val="Calibri"/>
        <family val="2"/>
        <scheme val="minor"/>
      </rPr>
      <t xml:space="preserve"> + 4 H</t>
    </r>
    <r>
      <rPr>
        <vertAlign val="subscript"/>
        <sz val="11"/>
        <color theme="1"/>
        <rFont val="Calibri"/>
        <family val="2"/>
        <scheme val="minor"/>
      </rPr>
      <t>2</t>
    </r>
    <r>
      <rPr>
        <sz val="11"/>
        <color theme="1"/>
        <rFont val="Calibri"/>
        <family val="2"/>
        <scheme val="minor"/>
      </rPr>
      <t>O → 2αH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+ 2(1-α)H</t>
    </r>
    <r>
      <rPr>
        <vertAlign val="superscript"/>
        <sz val="11"/>
        <color theme="1"/>
        <rFont val="Calibri"/>
        <family val="2"/>
        <scheme val="minor"/>
      </rPr>
      <t>+</t>
    </r>
    <r>
      <rPr>
        <sz val="11"/>
        <color theme="1"/>
        <rFont val="Calibri"/>
        <family val="2"/>
        <scheme val="minor"/>
      </rPr>
      <t xml:space="preserve"> +2(1-α)HCO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+ 4H</t>
    </r>
    <r>
      <rPr>
        <vertAlign val="subscript"/>
        <sz val="11"/>
        <color theme="1"/>
        <rFont val="Calibri"/>
        <family val="2"/>
        <scheme val="minor"/>
      </rPr>
      <t>2</t>
    </r>
  </si>
  <si>
    <r>
      <t>C</t>
    </r>
    <r>
      <rPr>
        <vertAlign val="subscript"/>
        <sz val="11"/>
        <color theme="1"/>
        <rFont val="Calibri"/>
        <family val="2"/>
        <scheme val="minor"/>
      </rPr>
      <t>3</t>
    </r>
    <r>
      <rPr>
        <sz val="11"/>
        <color theme="1"/>
        <rFont val="Calibri"/>
        <family val="2"/>
        <scheme val="minor"/>
      </rPr>
      <t>H</t>
    </r>
    <r>
      <rPr>
        <vertAlign val="subscript"/>
        <sz val="11"/>
        <color theme="1"/>
        <rFont val="Calibri"/>
        <family val="2"/>
        <scheme val="minor"/>
      </rPr>
      <t>6</t>
    </r>
    <r>
      <rPr>
        <sz val="11"/>
        <color theme="1"/>
        <rFont val="Calibri"/>
        <family val="2"/>
        <scheme val="minor"/>
      </rPr>
      <t>O</t>
    </r>
    <r>
      <rPr>
        <vertAlign val="subscript"/>
        <sz val="11"/>
        <color theme="1"/>
        <rFont val="Calibri"/>
        <family val="2"/>
        <scheme val="minor"/>
      </rPr>
      <t>3</t>
    </r>
    <r>
      <rPr>
        <sz val="11"/>
        <color theme="1"/>
        <rFont val="Calibri"/>
        <family val="2"/>
        <scheme val="minor"/>
      </rPr>
      <t>+ 3 H</t>
    </r>
    <r>
      <rPr>
        <vertAlign val="subscript"/>
        <sz val="11"/>
        <color theme="1"/>
        <rFont val="Calibri"/>
        <family val="2"/>
        <scheme val="minor"/>
      </rPr>
      <t>2</t>
    </r>
    <r>
      <rPr>
        <sz val="11"/>
        <color theme="1"/>
        <rFont val="Calibri"/>
        <family val="2"/>
        <scheme val="minor"/>
      </rPr>
      <t>O → 3αH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+ 3(1-α)H</t>
    </r>
    <r>
      <rPr>
        <vertAlign val="superscript"/>
        <sz val="11"/>
        <color theme="1"/>
        <rFont val="Calibri"/>
        <family val="2"/>
        <scheme val="minor"/>
      </rPr>
      <t>+</t>
    </r>
    <r>
      <rPr>
        <sz val="11"/>
        <color theme="1"/>
        <rFont val="Calibri"/>
        <family val="2"/>
        <scheme val="minor"/>
      </rPr>
      <t xml:space="preserve"> +3(1-α)HCO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+ 6H</t>
    </r>
    <r>
      <rPr>
        <vertAlign val="subscript"/>
        <sz val="11"/>
        <color theme="1"/>
        <rFont val="Calibri"/>
        <family val="2"/>
        <scheme val="minor"/>
      </rPr>
      <t>2</t>
    </r>
  </si>
  <si>
    <r>
      <t>C</t>
    </r>
    <r>
      <rPr>
        <vertAlign val="subscript"/>
        <sz val="11"/>
        <color theme="1"/>
        <rFont val="Calibri"/>
        <family val="2"/>
        <scheme val="minor"/>
      </rPr>
      <t>6</t>
    </r>
    <r>
      <rPr>
        <sz val="11"/>
        <color theme="1"/>
        <rFont val="Calibri"/>
        <family val="2"/>
        <scheme val="minor"/>
      </rPr>
      <t>H</t>
    </r>
    <r>
      <rPr>
        <vertAlign val="subscript"/>
        <sz val="11"/>
        <color theme="1"/>
        <rFont val="Calibri"/>
        <family val="2"/>
        <scheme val="minor"/>
      </rPr>
      <t>12</t>
    </r>
    <r>
      <rPr>
        <sz val="11"/>
        <color theme="1"/>
        <rFont val="Calibri"/>
        <family val="2"/>
        <scheme val="minor"/>
      </rPr>
      <t>O</t>
    </r>
    <r>
      <rPr>
        <vertAlign val="subscript"/>
        <sz val="11"/>
        <color theme="1"/>
        <rFont val="Calibri"/>
        <family val="2"/>
        <scheme val="minor"/>
      </rPr>
      <t>6</t>
    </r>
    <r>
      <rPr>
        <sz val="11"/>
        <color theme="1"/>
        <rFont val="Calibri"/>
        <family val="2"/>
        <scheme val="minor"/>
      </rPr>
      <t xml:space="preserve"> + 162 H</t>
    </r>
    <r>
      <rPr>
        <vertAlign val="subscript"/>
        <sz val="11"/>
        <color theme="1"/>
        <rFont val="Calibri"/>
        <family val="2"/>
        <scheme val="minor"/>
      </rPr>
      <t>2</t>
    </r>
    <r>
      <rPr>
        <sz val="11"/>
        <color theme="1"/>
        <rFont val="Calibri"/>
        <family val="2"/>
        <scheme val="minor"/>
      </rPr>
      <t>O → 6αH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+ 6(1-α)H</t>
    </r>
    <r>
      <rPr>
        <vertAlign val="superscript"/>
        <sz val="11"/>
        <color theme="1"/>
        <rFont val="Calibri"/>
        <family val="2"/>
        <scheme val="minor"/>
      </rPr>
      <t>+</t>
    </r>
    <r>
      <rPr>
        <sz val="11"/>
        <color theme="1"/>
        <rFont val="Calibri"/>
        <family val="2"/>
        <scheme val="minor"/>
      </rPr>
      <t xml:space="preserve"> +6 (1-α)HCO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+12H</t>
    </r>
    <r>
      <rPr>
        <vertAlign val="subscript"/>
        <sz val="11"/>
        <color theme="1"/>
        <rFont val="Calibri"/>
        <family val="2"/>
        <scheme val="minor"/>
      </rPr>
      <t>2</t>
    </r>
  </si>
  <si>
    <r>
      <t>C</t>
    </r>
    <r>
      <rPr>
        <vertAlign val="subscript"/>
        <sz val="11"/>
        <color theme="1"/>
        <rFont val="Calibri"/>
        <family val="2"/>
        <scheme val="minor"/>
      </rPr>
      <t>56</t>
    </r>
    <r>
      <rPr>
        <sz val="11"/>
        <color theme="1"/>
        <rFont val="Calibri"/>
        <family val="2"/>
        <scheme val="minor"/>
      </rPr>
      <t>H</t>
    </r>
    <r>
      <rPr>
        <vertAlign val="subscript"/>
        <sz val="11"/>
        <color theme="1"/>
        <rFont val="Calibri"/>
        <family val="2"/>
        <scheme val="minor"/>
      </rPr>
      <t>100</t>
    </r>
    <r>
      <rPr>
        <sz val="11"/>
        <color theme="1"/>
        <rFont val="Calibri"/>
        <family val="2"/>
        <scheme val="minor"/>
      </rPr>
      <t>O</t>
    </r>
    <r>
      <rPr>
        <vertAlign val="subscript"/>
        <sz val="11"/>
        <color theme="1"/>
        <rFont val="Calibri"/>
        <family val="2"/>
        <scheme val="minor"/>
      </rPr>
      <t>6</t>
    </r>
    <r>
      <rPr>
        <sz val="11"/>
        <color theme="1"/>
        <rFont val="Calibri"/>
        <family val="2"/>
        <scheme val="minor"/>
      </rPr>
      <t xml:space="preserve"> + 162 H</t>
    </r>
    <r>
      <rPr>
        <vertAlign val="subscript"/>
        <sz val="11"/>
        <color theme="1"/>
        <rFont val="Calibri"/>
        <family val="2"/>
        <scheme val="minor"/>
      </rPr>
      <t>2</t>
    </r>
    <r>
      <rPr>
        <sz val="11"/>
        <color theme="1"/>
        <rFont val="Calibri"/>
        <family val="2"/>
        <scheme val="minor"/>
      </rPr>
      <t>O → 56 α 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(1-α)H</t>
    </r>
    <r>
      <rPr>
        <vertAlign val="superscript"/>
        <sz val="11"/>
        <color theme="1"/>
        <rFont val="Calibri"/>
        <family val="2"/>
        <scheme val="minor"/>
      </rPr>
      <t>+</t>
    </r>
    <r>
      <rPr>
        <sz val="11"/>
        <color theme="1"/>
        <rFont val="Calibri"/>
        <family val="2"/>
        <scheme val="minor"/>
      </rPr>
      <t xml:space="preserve"> +(1-α)HCO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+156 H</t>
    </r>
    <r>
      <rPr>
        <vertAlign val="subscript"/>
        <sz val="11"/>
        <color theme="1"/>
        <rFont val="Calibri"/>
        <family val="2"/>
        <scheme val="minor"/>
      </rPr>
      <t>2</t>
    </r>
  </si>
  <si>
    <r>
      <t>O</t>
    </r>
    <r>
      <rPr>
        <vertAlign val="subscript"/>
        <sz val="11"/>
        <color theme="1"/>
        <rFont val="Calibri"/>
        <family val="2"/>
        <scheme val="minor"/>
      </rPr>
      <t>2</t>
    </r>
    <r>
      <rPr>
        <sz val="11"/>
        <color theme="1"/>
        <rFont val="Calibri"/>
        <family val="2"/>
        <scheme val="minor"/>
      </rPr>
      <t xml:space="preserve"> + 2 H</t>
    </r>
    <r>
      <rPr>
        <vertAlign val="subscript"/>
        <sz val="11"/>
        <color theme="1"/>
        <rFont val="Calibri"/>
        <family val="2"/>
        <scheme val="minor"/>
      </rPr>
      <t>2</t>
    </r>
    <r>
      <rPr>
        <sz val="11"/>
        <color theme="1"/>
        <rFont val="Calibri"/>
        <family val="2"/>
        <scheme val="minor"/>
      </rPr>
      <t xml:space="preserve">  → 2 H</t>
    </r>
    <r>
      <rPr>
        <vertAlign val="subscript"/>
        <sz val="11"/>
        <color theme="1"/>
        <rFont val="Calibri"/>
        <family val="2"/>
        <scheme val="minor"/>
      </rPr>
      <t>2</t>
    </r>
    <r>
      <rPr>
        <sz val="11"/>
        <color theme="1"/>
        <rFont val="Calibri"/>
        <family val="2"/>
        <scheme val="minor"/>
      </rPr>
      <t>O</t>
    </r>
  </si>
  <si>
    <r>
      <t>NO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+ 2½ H</t>
    </r>
    <r>
      <rPr>
        <vertAlign val="subscript"/>
        <sz val="11"/>
        <color theme="1"/>
        <rFont val="Calibri"/>
        <family val="2"/>
        <scheme val="minor"/>
      </rPr>
      <t>2</t>
    </r>
    <r>
      <rPr>
        <sz val="11"/>
        <color theme="1"/>
        <rFont val="Calibri"/>
        <family val="2"/>
        <scheme val="minor"/>
      </rPr>
      <t xml:space="preserve"> → 2 H</t>
    </r>
    <r>
      <rPr>
        <vertAlign val="subscript"/>
        <sz val="11"/>
        <color theme="1"/>
        <rFont val="Calibri"/>
        <family val="2"/>
        <scheme val="minor"/>
      </rPr>
      <t>2</t>
    </r>
    <r>
      <rPr>
        <sz val="11"/>
        <color theme="1"/>
        <rFont val="Calibri"/>
        <family val="2"/>
        <scheme val="minor"/>
      </rPr>
      <t>O + ½ N</t>
    </r>
    <r>
      <rPr>
        <vertAlign val="subscript"/>
        <sz val="11"/>
        <color theme="1"/>
        <rFont val="Calibri"/>
        <family val="2"/>
        <scheme val="minor"/>
      </rPr>
      <t xml:space="preserve">2 </t>
    </r>
    <r>
      <rPr>
        <sz val="11"/>
        <color theme="1"/>
        <rFont val="Calibri"/>
        <family val="2"/>
        <scheme val="minor"/>
      </rPr>
      <t>+ OH</t>
    </r>
    <r>
      <rPr>
        <vertAlign val="superscript"/>
        <sz val="11"/>
        <color theme="1"/>
        <rFont val="Calibri"/>
        <family val="2"/>
        <scheme val="minor"/>
      </rPr>
      <t>-</t>
    </r>
  </si>
  <si>
    <r>
      <t>FeO(OH) + ½ H</t>
    </r>
    <r>
      <rPr>
        <vertAlign val="subscript"/>
        <sz val="11"/>
        <color theme="1"/>
        <rFont val="Calibri"/>
        <family val="2"/>
        <scheme val="minor"/>
      </rPr>
      <t>2</t>
    </r>
    <r>
      <rPr>
        <sz val="11"/>
        <color theme="1"/>
        <rFont val="Calibri"/>
        <family val="2"/>
        <scheme val="minor"/>
      </rPr>
      <t xml:space="preserve">  → Fe</t>
    </r>
    <r>
      <rPr>
        <vertAlign val="superscript"/>
        <sz val="11"/>
        <color theme="1"/>
        <rFont val="Calibri"/>
        <family val="2"/>
        <scheme val="minor"/>
      </rPr>
      <t>2+</t>
    </r>
    <r>
      <rPr>
        <sz val="11"/>
        <color theme="1"/>
        <rFont val="Calibri"/>
        <family val="2"/>
        <scheme val="minor"/>
      </rPr>
      <t xml:space="preserve"> + 2 OH</t>
    </r>
    <r>
      <rPr>
        <vertAlign val="superscript"/>
        <sz val="11"/>
        <color theme="1"/>
        <rFont val="Calibri"/>
        <family val="2"/>
        <scheme val="minor"/>
      </rPr>
      <t>-</t>
    </r>
  </si>
  <si>
    <r>
      <t>α H</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 (1-α)H</t>
    </r>
    <r>
      <rPr>
        <vertAlign val="superscript"/>
        <sz val="11"/>
        <color theme="1"/>
        <rFont val="Calibri"/>
        <family val="2"/>
        <scheme val="minor"/>
      </rPr>
      <t>+</t>
    </r>
    <r>
      <rPr>
        <sz val="11"/>
        <color theme="1"/>
        <rFont val="Calibri"/>
        <family val="2"/>
        <scheme val="minor"/>
      </rPr>
      <t xml:space="preserve"> +(1-α)HCO</t>
    </r>
    <r>
      <rPr>
        <vertAlign val="subscript"/>
        <sz val="11"/>
        <color theme="1"/>
        <rFont val="Calibri"/>
        <family val="2"/>
        <scheme val="minor"/>
      </rPr>
      <t>3</t>
    </r>
    <r>
      <rPr>
        <vertAlign val="superscript"/>
        <sz val="11"/>
        <color theme="1"/>
        <rFont val="Calibri"/>
        <family val="2"/>
        <scheme val="minor"/>
      </rPr>
      <t xml:space="preserve">– </t>
    </r>
    <r>
      <rPr>
        <sz val="11"/>
        <color theme="1"/>
        <rFont val="Calibri"/>
        <family val="2"/>
        <scheme val="minor"/>
      </rPr>
      <t>+ 4 H</t>
    </r>
    <r>
      <rPr>
        <vertAlign val="subscript"/>
        <sz val="11"/>
        <color theme="1"/>
        <rFont val="Calibri"/>
        <family val="2"/>
        <scheme val="minor"/>
      </rPr>
      <t>2</t>
    </r>
    <r>
      <rPr>
        <sz val="11"/>
        <color theme="1"/>
        <rFont val="Calibri"/>
        <family val="2"/>
        <scheme val="minor"/>
      </rPr>
      <t xml:space="preserve"> → CH</t>
    </r>
    <r>
      <rPr>
        <vertAlign val="subscript"/>
        <sz val="11"/>
        <color theme="1"/>
        <rFont val="Calibri"/>
        <family val="2"/>
        <scheme val="minor"/>
      </rPr>
      <t>4</t>
    </r>
    <r>
      <rPr>
        <sz val="11"/>
        <color theme="1"/>
        <rFont val="Calibri"/>
        <family val="2"/>
        <scheme val="minor"/>
      </rPr>
      <t xml:space="preserve"> + 3 H</t>
    </r>
    <r>
      <rPr>
        <vertAlign val="subscript"/>
        <sz val="11"/>
        <color theme="1"/>
        <rFont val="Calibri"/>
        <family val="2"/>
        <scheme val="minor"/>
      </rPr>
      <t>2</t>
    </r>
    <r>
      <rPr>
        <sz val="11"/>
        <color theme="1"/>
        <rFont val="Calibri"/>
        <family val="2"/>
        <scheme val="minor"/>
      </rPr>
      <t>O</t>
    </r>
  </si>
  <si>
    <r>
      <t>g/cm</t>
    </r>
    <r>
      <rPr>
        <vertAlign val="superscript"/>
        <sz val="11"/>
        <color theme="1"/>
        <rFont val="Calibri"/>
        <family val="2"/>
        <scheme val="minor"/>
      </rPr>
      <t>3</t>
    </r>
  </si>
  <si>
    <r>
      <t>mL/cm</t>
    </r>
    <r>
      <rPr>
        <vertAlign val="superscript"/>
        <sz val="11"/>
        <color theme="1"/>
        <rFont val="Calibri"/>
        <family val="2"/>
        <scheme val="minor"/>
      </rPr>
      <t>3</t>
    </r>
  </si>
  <si>
    <r>
      <t>lb/ft</t>
    </r>
    <r>
      <rPr>
        <vertAlign val="superscript"/>
        <sz val="11"/>
        <color theme="1"/>
        <rFont val="Calibri"/>
        <family val="2"/>
        <scheme val="minor"/>
      </rPr>
      <t>3</t>
    </r>
  </si>
  <si>
    <r>
      <t>OH</t>
    </r>
    <r>
      <rPr>
        <vertAlign val="superscript"/>
        <sz val="11"/>
        <color theme="1"/>
        <rFont val="Calibri"/>
        <family val="2"/>
        <scheme val="minor"/>
      </rPr>
      <t>-</t>
    </r>
    <r>
      <rPr>
        <sz val="11"/>
        <color theme="1"/>
        <rFont val="Calibri"/>
        <family val="2"/>
        <scheme val="minor"/>
      </rPr>
      <t xml:space="preserve"> eq</t>
    </r>
  </si>
  <si>
    <t>Alkali Properties and Amounts</t>
  </si>
  <si>
    <t>Aquifer buffering Capacity (meq/Kg per pH unit) from multiple sites</t>
  </si>
  <si>
    <t>Site</t>
  </si>
  <si>
    <t>Depth (ft)</t>
  </si>
  <si>
    <t>Soil</t>
  </si>
  <si>
    <t>Clay</t>
  </si>
  <si>
    <t>D10</t>
  </si>
  <si>
    <t>D50</t>
  </si>
  <si>
    <t>CEC</t>
  </si>
  <si>
    <t>OM</t>
  </si>
  <si>
    <t>Initial Soil pH</t>
  </si>
  <si>
    <t>Location</t>
  </si>
  <si>
    <t xml:space="preserve">Description </t>
  </si>
  <si>
    <t>%</t>
  </si>
  <si>
    <r>
      <t>(</t>
    </r>
    <r>
      <rPr>
        <b/>
        <sz val="11"/>
        <color theme="1"/>
        <rFont val="Calibri"/>
        <family val="2"/>
      </rPr>
      <t>µm)</t>
    </r>
  </si>
  <si>
    <t>(meq/100g)</t>
  </si>
  <si>
    <t>(%)</t>
  </si>
  <si>
    <t xml:space="preserve">DI </t>
  </si>
  <si>
    <t>grey coarse sand</t>
  </si>
  <si>
    <t>orange fine sand</t>
  </si>
  <si>
    <t>silt/clay</t>
  </si>
  <si>
    <t>sand</t>
  </si>
  <si>
    <t>fine sand</t>
  </si>
  <si>
    <t>clay/fine sand</t>
  </si>
  <si>
    <t>CS</t>
  </si>
  <si>
    <t>SG</t>
  </si>
  <si>
    <r>
      <t>CaCl</t>
    </r>
    <r>
      <rPr>
        <b/>
        <vertAlign val="subscript"/>
        <sz val="11"/>
        <color theme="1"/>
        <rFont val="Calibri"/>
        <family val="2"/>
        <scheme val="minor"/>
      </rPr>
      <t>2</t>
    </r>
  </si>
  <si>
    <t>pHBC (meq/Kg/pH)</t>
  </si>
  <si>
    <r>
      <t>SO</t>
    </r>
    <r>
      <rPr>
        <vertAlign val="subscript"/>
        <sz val="11"/>
        <color theme="1"/>
        <rFont val="Calibri"/>
        <family val="2"/>
        <scheme val="minor"/>
      </rPr>
      <t>4</t>
    </r>
    <r>
      <rPr>
        <vertAlign val="superscript"/>
        <sz val="11"/>
        <color theme="1"/>
        <rFont val="Calibri"/>
        <family val="2"/>
        <scheme val="minor"/>
      </rPr>
      <t>2-</t>
    </r>
    <r>
      <rPr>
        <sz val="11"/>
        <color theme="1"/>
        <rFont val="Calibri"/>
        <family val="2"/>
        <scheme val="minor"/>
      </rPr>
      <t xml:space="preserve"> + 4 H</t>
    </r>
    <r>
      <rPr>
        <vertAlign val="subscript"/>
        <sz val="11"/>
        <color theme="1"/>
        <rFont val="Calibri"/>
        <family val="2"/>
        <scheme val="minor"/>
      </rPr>
      <t>2</t>
    </r>
    <r>
      <rPr>
        <sz val="11"/>
        <color theme="1"/>
        <rFont val="Calibri"/>
        <family val="2"/>
        <scheme val="minor"/>
      </rPr>
      <t xml:space="preserve"> + Fe</t>
    </r>
    <r>
      <rPr>
        <vertAlign val="superscript"/>
        <sz val="11"/>
        <color theme="1"/>
        <rFont val="Calibri"/>
        <family val="2"/>
        <scheme val="minor"/>
      </rPr>
      <t>2+</t>
    </r>
    <r>
      <rPr>
        <sz val="11"/>
        <color theme="1"/>
        <rFont val="Calibri"/>
        <family val="2"/>
        <scheme val="minor"/>
      </rPr>
      <t xml:space="preserve"> → FeS + 4 H</t>
    </r>
    <r>
      <rPr>
        <vertAlign val="subscript"/>
        <sz val="11"/>
        <color theme="1"/>
        <rFont val="Calibri"/>
        <family val="2"/>
        <scheme val="minor"/>
      </rPr>
      <t>2</t>
    </r>
    <r>
      <rPr>
        <sz val="11"/>
        <color theme="1"/>
        <rFont val="Calibri"/>
        <family val="2"/>
        <scheme val="minor"/>
      </rPr>
      <t>O</t>
    </r>
  </si>
  <si>
    <r>
      <t>C</t>
    </r>
    <r>
      <rPr>
        <vertAlign val="subscript"/>
        <sz val="11"/>
        <color theme="1"/>
        <rFont val="Calibri"/>
        <family val="2"/>
        <scheme val="minor"/>
      </rPr>
      <t>2</t>
    </r>
    <r>
      <rPr>
        <sz val="11"/>
        <color theme="1"/>
        <rFont val="Calibri"/>
        <family val="2"/>
        <scheme val="minor"/>
      </rPr>
      <t>Cl</t>
    </r>
    <r>
      <rPr>
        <vertAlign val="subscript"/>
        <sz val="11"/>
        <color theme="1"/>
        <rFont val="Calibri"/>
        <family val="2"/>
        <scheme val="minor"/>
      </rPr>
      <t xml:space="preserve">4 </t>
    </r>
    <r>
      <rPr>
        <sz val="11"/>
        <color theme="1"/>
        <rFont val="Calibri"/>
        <family val="2"/>
        <scheme val="minor"/>
      </rPr>
      <t>+ 4 H</t>
    </r>
    <r>
      <rPr>
        <vertAlign val="subscript"/>
        <sz val="11"/>
        <color theme="1"/>
        <rFont val="Calibri"/>
        <family val="2"/>
        <scheme val="minor"/>
      </rPr>
      <t>2</t>
    </r>
    <r>
      <rPr>
        <sz val="11"/>
        <color theme="1"/>
        <rFont val="Calibri"/>
        <family val="2"/>
        <scheme val="minor"/>
      </rPr>
      <t xml:space="preserve"> → C</t>
    </r>
    <r>
      <rPr>
        <vertAlign val="subscript"/>
        <sz val="11"/>
        <color theme="1"/>
        <rFont val="Calibri"/>
        <family val="2"/>
        <scheme val="minor"/>
      </rPr>
      <t>2</t>
    </r>
    <r>
      <rPr>
        <sz val="11"/>
        <color theme="1"/>
        <rFont val="Calibri"/>
        <family val="2"/>
        <scheme val="minor"/>
      </rPr>
      <t>H</t>
    </r>
    <r>
      <rPr>
        <vertAlign val="subscript"/>
        <sz val="11"/>
        <color theme="1"/>
        <rFont val="Calibri"/>
        <family val="2"/>
        <scheme val="minor"/>
      </rPr>
      <t>4</t>
    </r>
    <r>
      <rPr>
        <sz val="11"/>
        <color theme="1"/>
        <rFont val="Calibri"/>
        <family val="2"/>
        <scheme val="minor"/>
      </rPr>
      <t xml:space="preserve"> + 4H</t>
    </r>
    <r>
      <rPr>
        <vertAlign val="superscript"/>
        <sz val="11"/>
        <color theme="1"/>
        <rFont val="Calibri"/>
        <family val="2"/>
        <scheme val="minor"/>
      </rPr>
      <t>+</t>
    </r>
    <r>
      <rPr>
        <sz val="11"/>
        <color theme="1"/>
        <rFont val="Calibri"/>
        <family val="2"/>
        <scheme val="minor"/>
      </rPr>
      <t xml:space="preserve"> + 4Cl</t>
    </r>
    <r>
      <rPr>
        <vertAlign val="superscript"/>
        <sz val="11"/>
        <color theme="1"/>
        <rFont val="Calibri"/>
        <family val="2"/>
        <scheme val="minor"/>
      </rPr>
      <t>-</t>
    </r>
  </si>
  <si>
    <t>mole</t>
  </si>
  <si>
    <t>From Electron acceptors and donors</t>
  </si>
  <si>
    <t>From Dechlorination</t>
  </si>
  <si>
    <t>From Added Substrate</t>
  </si>
  <si>
    <r>
      <t>H</t>
    </r>
    <r>
      <rPr>
        <vertAlign val="subscript"/>
        <sz val="11"/>
        <color theme="1"/>
        <rFont val="Calibri"/>
        <family val="2"/>
        <scheme val="minor"/>
      </rPr>
      <t>2</t>
    </r>
    <r>
      <rPr>
        <sz val="11"/>
        <color theme="1"/>
        <rFont val="Calibri"/>
        <family val="2"/>
        <scheme val="minor"/>
      </rPr>
      <t xml:space="preserve"> Produced</t>
    </r>
  </si>
  <si>
    <r>
      <t>H</t>
    </r>
    <r>
      <rPr>
        <vertAlign val="superscript"/>
        <sz val="11"/>
        <color theme="1"/>
        <rFont val="Calibri"/>
        <family val="2"/>
        <scheme val="minor"/>
      </rPr>
      <t>+</t>
    </r>
  </si>
  <si>
    <r>
      <t>H</t>
    </r>
    <r>
      <rPr>
        <vertAlign val="subscript"/>
        <sz val="11"/>
        <color theme="1"/>
        <rFont val="Calibri"/>
        <family val="2"/>
        <scheme val="minor"/>
      </rPr>
      <t>2</t>
    </r>
  </si>
  <si>
    <t>(mg/Kg)</t>
  </si>
  <si>
    <t>Units</t>
  </si>
  <si>
    <t>(mg/L)</t>
  </si>
  <si>
    <t>(Kg)</t>
  </si>
  <si>
    <t>GW</t>
  </si>
  <si>
    <t>GW+Soil</t>
  </si>
  <si>
    <t>Average Conc.</t>
  </si>
  <si>
    <t>Reagents</t>
  </si>
  <si>
    <t>Treated Soil:</t>
  </si>
  <si>
    <t>Total GW Vol.:</t>
  </si>
  <si>
    <t>Amount Consumed</t>
  </si>
  <si>
    <t>Base Consumed</t>
  </si>
  <si>
    <t>Magnesium Hydroxide</t>
  </si>
  <si>
    <t>Treatment Zone</t>
  </si>
  <si>
    <t>Hydraulic Retention Time:</t>
  </si>
  <si>
    <t>Mass Consumed</t>
  </si>
  <si>
    <t>Amount Added</t>
  </si>
  <si>
    <r>
      <t>Background CO</t>
    </r>
    <r>
      <rPr>
        <vertAlign val="subscript"/>
        <sz val="11"/>
        <color theme="1"/>
        <rFont val="Calibri"/>
        <family val="2"/>
        <scheme val="minor"/>
      </rPr>
      <t>2</t>
    </r>
    <r>
      <rPr>
        <sz val="11"/>
        <color theme="1"/>
        <rFont val="Calibri"/>
        <family val="2"/>
        <scheme val="minor"/>
      </rPr>
      <t xml:space="preserve"> Acidity:</t>
    </r>
  </si>
  <si>
    <r>
      <t>Background CO</t>
    </r>
    <r>
      <rPr>
        <vertAlign val="subscript"/>
        <sz val="11"/>
        <color theme="1"/>
        <rFont val="Calibri"/>
        <family val="2"/>
        <scheme val="minor"/>
      </rPr>
      <t>2</t>
    </r>
    <r>
      <rPr>
        <sz val="11"/>
        <color theme="1"/>
        <rFont val="Calibri"/>
        <family val="2"/>
        <scheme val="minor"/>
      </rPr>
      <t xml:space="preserve"> Alkalinity:</t>
    </r>
  </si>
  <si>
    <t>Total Base Demand</t>
  </si>
  <si>
    <t>Base Demand Summary</t>
  </si>
  <si>
    <t>Acidity from Dechlorination</t>
  </si>
  <si>
    <t>Acidity from Added Substrate</t>
  </si>
  <si>
    <r>
      <t>Acidity from e</t>
    </r>
    <r>
      <rPr>
        <vertAlign val="superscript"/>
        <sz val="11"/>
        <color theme="1"/>
        <rFont val="Calibri"/>
        <family val="2"/>
        <scheme val="minor"/>
      </rPr>
      <t>-</t>
    </r>
    <r>
      <rPr>
        <sz val="11"/>
        <color theme="1"/>
        <rFont val="Calibri"/>
        <family val="2"/>
        <scheme val="minor"/>
      </rPr>
      <t xml:space="preserve"> accept / donors</t>
    </r>
  </si>
  <si>
    <t>Fe(III) --&gt; Fe(II)</t>
  </si>
  <si>
    <t>Site Information</t>
  </si>
  <si>
    <t>Initial GW and Soil Concentrations</t>
  </si>
  <si>
    <t>Fraction of Base Demand Met</t>
  </si>
  <si>
    <t>Parameter</t>
  </si>
  <si>
    <t>Dissolved Inorganic Carbon:</t>
  </si>
  <si>
    <r>
      <t xml:space="preserve">This TOOL is provided free of charge for use in developing preliminary estimates of the amounts of base or alkali required to maintain a target pH during anerobic bioremeidaiton.  This TOOL is provided "as is" and "with all faults." The developers makes no representations or warranties of any kind concerning the safety, suitability, lack of viruses, inaccuracies, typographical errors, or other harmful components of this TOOL.  The developers will not be liable for any damages you may suffer in connection with using, modifying, or distributing this TOOL.  A qualified design professional should be consulted before implementing any remediation project.                                                                                                                                       For information on development of this TOOL and input parameters, see </t>
    </r>
    <r>
      <rPr>
        <b/>
        <sz val="14"/>
        <color theme="1"/>
        <rFont val="Calibri"/>
        <family val="2"/>
        <scheme val="minor"/>
      </rPr>
      <t>www.ENVIRO.wiki - Base Addition Design Tool</t>
    </r>
    <r>
      <rPr>
        <sz val="11"/>
        <color theme="1"/>
        <rFont val="Calibri"/>
        <family val="2"/>
        <scheme val="minor"/>
      </rPr>
      <t>.</t>
    </r>
  </si>
  <si>
    <t>NJ - SB 11</t>
  </si>
  <si>
    <t>NJ - SB 12</t>
  </si>
  <si>
    <t>NJ - SB 13</t>
  </si>
  <si>
    <t>FL Bldg 780</t>
  </si>
  <si>
    <t>FL SA17</t>
  </si>
  <si>
    <t>FL SA17 SB-2</t>
  </si>
  <si>
    <t>FL SA17 SB-1</t>
  </si>
  <si>
    <t>FL OU2 SB-3</t>
  </si>
  <si>
    <t>FL OU2 SB-2</t>
  </si>
  <si>
    <t>FL OU2 SB-1</t>
  </si>
  <si>
    <t>FL OU2 34-37'</t>
  </si>
  <si>
    <t>FL OU2 37-40'</t>
  </si>
  <si>
    <t>NC - Site A</t>
  </si>
  <si>
    <t>NC Site B   SB-47</t>
  </si>
  <si>
    <t>NC Site B   SB-68</t>
  </si>
  <si>
    <t>NC Site B   SB-67</t>
  </si>
  <si>
    <t>NC Site B   SB-48</t>
  </si>
  <si>
    <t>NC Site B   SB-70</t>
  </si>
  <si>
    <t>NC Site B   SB-71</t>
  </si>
  <si>
    <t>NC Site B   SB-69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</si>
</sst>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11" x14ac:knownFonts="1">
    <font>
      <sz val="11"/>
      <color theme="1"/>
      <name val="Calibri"/>
      <family val="2"/>
      <scheme val="minor"/>
    </font>
    <font>
      <vertAlign val="superscript"/>
      <sz val="11"/>
      <color theme="1"/>
      <name val="Calibri"/>
      <family val="2"/>
      <scheme val="minor"/>
    </font>
    <font>
      <vertAlign val="subscript"/>
      <sz val="11"/>
      <color theme="1"/>
      <name val="Calibri"/>
      <family val="2"/>
      <scheme val="minor"/>
    </font>
    <font>
      <b/>
      <sz val="11"/>
      <color theme="1"/>
      <name val="Calibri"/>
      <family val="2"/>
      <scheme val="minor"/>
    </font>
    <font>
      <b/>
      <sz val="11"/>
      <color theme="1"/>
      <name val="Calibri"/>
      <family val="2"/>
    </font>
    <font>
      <sz val="10"/>
      <name val="Arial"/>
      <family val="2"/>
    </font>
    <font>
      <b/>
      <sz val="9"/>
      <color theme="1"/>
      <name val="Calibri"/>
      <family val="2"/>
      <scheme val="minor"/>
    </font>
    <font>
      <b/>
      <vertAlign val="subscript"/>
      <sz val="11"/>
      <color theme="1"/>
      <name val="Calibri"/>
      <family val="2"/>
      <scheme val="minor"/>
    </font>
    <font>
      <b/>
      <u/>
      <sz val="11"/>
      <color theme="1"/>
      <name val="Calibri"/>
      <family val="2"/>
      <scheme val="minor"/>
    </font>
    <font>
      <sz val="9"/>
      <color indexed="81"/>
      <name val="Tahoma"/>
      <family val="2"/>
    </font>
    <font>
      <b/>
      <sz val="14"/>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5" fillId="0" borderId="0"/>
  </cellStyleXfs>
  <cellXfs count="109">
    <xf numFmtId="0" fontId="0" fillId="0" borderId="0" xfId="0"/>
    <xf numFmtId="0" fontId="0" fillId="0" borderId="0" xfId="0" applyFont="1"/>
    <xf numFmtId="3" fontId="0" fillId="2" borderId="1" xfId="0" applyNumberFormat="1" applyFill="1" applyBorder="1" applyAlignment="1">
      <alignment horizontal="center" vertical="center"/>
    </xf>
    <xf numFmtId="164" fontId="0" fillId="2" borderId="1" xfId="0" applyNumberFormat="1" applyFont="1" applyFill="1" applyBorder="1" applyAlignment="1">
      <alignment horizontal="center" vertical="center" wrapText="1"/>
    </xf>
    <xf numFmtId="2" fontId="0" fillId="2" borderId="1" xfId="0" applyNumberFormat="1"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0" fontId="0" fillId="2" borderId="0" xfId="0" applyFont="1" applyFill="1"/>
    <xf numFmtId="0" fontId="0" fillId="2" borderId="0" xfId="0" applyFont="1" applyFill="1" applyAlignment="1">
      <alignment vertical="center"/>
    </xf>
    <xf numFmtId="0" fontId="0" fillId="2" borderId="1" xfId="0" applyFont="1" applyFill="1" applyBorder="1" applyAlignment="1">
      <alignment vertical="center" wrapText="1"/>
    </xf>
    <xf numFmtId="0" fontId="0" fillId="2" borderId="5" xfId="0" applyFont="1" applyFill="1" applyBorder="1" applyAlignment="1">
      <alignment vertical="center" wrapText="1"/>
    </xf>
    <xf numFmtId="164" fontId="0" fillId="2" borderId="5" xfId="0" applyNumberFormat="1" applyFont="1" applyFill="1" applyBorder="1" applyAlignment="1">
      <alignment horizontal="center" vertical="center" wrapText="1"/>
    </xf>
    <xf numFmtId="0" fontId="0" fillId="2" borderId="1" xfId="0" applyFont="1" applyFill="1" applyBorder="1" applyAlignment="1">
      <alignment vertical="center"/>
    </xf>
    <xf numFmtId="0" fontId="0" fillId="2" borderId="1" xfId="0" applyFont="1" applyFill="1" applyBorder="1"/>
    <xf numFmtId="3" fontId="0" fillId="2" borderId="0" xfId="0" applyNumberFormat="1" applyFill="1" applyBorder="1" applyAlignment="1">
      <alignment horizontal="center" vertical="center"/>
    </xf>
    <xf numFmtId="0" fontId="0" fillId="0" borderId="0" xfId="0"/>
    <xf numFmtId="0" fontId="0" fillId="0" borderId="0" xfId="0" applyBorder="1"/>
    <xf numFmtId="0" fontId="0" fillId="0" borderId="0" xfId="0" applyBorder="1" applyAlignment="1">
      <alignment horizontal="center"/>
    </xf>
    <xf numFmtId="164" fontId="0" fillId="0" borderId="0" xfId="0" applyNumberFormat="1" applyFill="1" applyBorder="1"/>
    <xf numFmtId="0" fontId="0" fillId="0" borderId="0" xfId="0" applyFill="1" applyBorder="1" applyAlignment="1">
      <alignment horizontal="center" vertical="center"/>
    </xf>
    <xf numFmtId="0" fontId="0" fillId="0" borderId="0" xfId="0" applyBorder="1" applyAlignment="1">
      <alignment horizontal="center" vertical="center"/>
    </xf>
    <xf numFmtId="164" fontId="0" fillId="0" borderId="0" xfId="0" applyNumberFormat="1" applyFill="1" applyBorder="1" applyAlignment="1">
      <alignment horizontal="center"/>
    </xf>
    <xf numFmtId="3" fontId="0" fillId="2" borderId="0" xfId="0" applyNumberFormat="1" applyFont="1" applyFill="1"/>
    <xf numFmtId="0" fontId="0" fillId="2" borderId="0" xfId="0" applyFill="1"/>
    <xf numFmtId="0" fontId="0" fillId="2" borderId="0" xfId="0" applyFill="1" applyBorder="1"/>
    <xf numFmtId="0" fontId="0" fillId="2" borderId="0" xfId="0" applyFill="1" applyBorder="1" applyAlignment="1">
      <alignment horizontal="center" vertical="center"/>
    </xf>
    <xf numFmtId="0" fontId="0" fillId="2" borderId="0" xfId="0" applyFill="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2" borderId="1" xfId="0" applyFill="1" applyBorder="1" applyAlignment="1">
      <alignment horizontal="left"/>
    </xf>
    <xf numFmtId="0" fontId="0" fillId="2" borderId="1" xfId="0" applyFill="1" applyBorder="1" applyAlignment="1">
      <alignment horizontal="center" vertical="center"/>
    </xf>
    <xf numFmtId="0" fontId="0" fillId="2" borderId="1" xfId="0" applyFill="1" applyBorder="1" applyAlignment="1">
      <alignment horizontal="center"/>
    </xf>
    <xf numFmtId="164" fontId="0" fillId="2" borderId="1" xfId="0" applyNumberFormat="1" applyFill="1" applyBorder="1" applyAlignment="1">
      <alignment horizontal="center"/>
    </xf>
    <xf numFmtId="0" fontId="0" fillId="2" borderId="1" xfId="0" applyFont="1" applyFill="1" applyBorder="1" applyAlignment="1">
      <alignment horizontal="center"/>
    </xf>
    <xf numFmtId="2" fontId="0" fillId="2" borderId="1" xfId="0" applyNumberFormat="1" applyFill="1" applyBorder="1" applyAlignment="1">
      <alignment horizontal="center"/>
    </xf>
    <xf numFmtId="1" fontId="0" fillId="2" borderId="1" xfId="0" applyNumberFormat="1" applyFill="1" applyBorder="1" applyAlignment="1">
      <alignment horizontal="center" vertical="center"/>
    </xf>
    <xf numFmtId="0" fontId="0" fillId="2" borderId="1" xfId="0" applyFill="1" applyBorder="1"/>
    <xf numFmtId="164" fontId="0" fillId="2" borderId="1" xfId="0" applyNumberFormat="1" applyFont="1" applyFill="1" applyBorder="1" applyAlignment="1">
      <alignment horizontal="center"/>
    </xf>
    <xf numFmtId="1" fontId="0" fillId="2" borderId="1" xfId="0" applyNumberFormat="1" applyFont="1" applyFill="1" applyBorder="1" applyAlignment="1">
      <alignment horizontal="center"/>
    </xf>
    <xf numFmtId="1" fontId="0" fillId="2" borderId="1" xfId="0" applyNumberFormat="1" applyFill="1" applyBorder="1" applyAlignment="1">
      <alignment horizontal="center"/>
    </xf>
    <xf numFmtId="2" fontId="0" fillId="2" borderId="1" xfId="0" applyNumberFormat="1" applyFont="1" applyFill="1" applyBorder="1" applyAlignment="1">
      <alignment horizontal="center"/>
    </xf>
    <xf numFmtId="167" fontId="0" fillId="2" borderId="1" xfId="0" applyNumberFormat="1" applyFont="1" applyFill="1" applyBorder="1" applyAlignment="1">
      <alignment horizontal="center"/>
    </xf>
    <xf numFmtId="164" fontId="0" fillId="0" borderId="0" xfId="0" applyNumberFormat="1"/>
    <xf numFmtId="167" fontId="0" fillId="0" borderId="0" xfId="0" applyNumberFormat="1"/>
    <xf numFmtId="0" fontId="0" fillId="2" borderId="1" xfId="0" applyFont="1" applyFill="1" applyBorder="1" applyAlignment="1">
      <alignment horizontal="left"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3" fontId="0" fillId="0" borderId="0" xfId="0" applyNumberFormat="1" applyFill="1" applyBorder="1" applyAlignment="1">
      <alignment horizontal="center" vertical="center"/>
    </xf>
    <xf numFmtId="0" fontId="0" fillId="0" borderId="0" xfId="0" applyFill="1" applyAlignment="1">
      <alignment vertical="center"/>
    </xf>
    <xf numFmtId="3" fontId="0" fillId="0" borderId="0" xfId="0" applyNumberFormat="1" applyFill="1" applyBorder="1" applyAlignment="1">
      <alignment horizontal="left" vertical="center"/>
    </xf>
    <xf numFmtId="1" fontId="0" fillId="0" borderId="0" xfId="0" applyNumberFormat="1" applyFill="1" applyAlignment="1">
      <alignment vertical="center"/>
    </xf>
    <xf numFmtId="4" fontId="0" fillId="0" borderId="0" xfId="0" applyNumberFormat="1" applyFill="1" applyAlignment="1">
      <alignment vertical="center"/>
    </xf>
    <xf numFmtId="3" fontId="0" fillId="0" borderId="0" xfId="0" applyNumberFormat="1" applyFill="1" applyAlignment="1">
      <alignment vertical="center"/>
    </xf>
    <xf numFmtId="2" fontId="0" fillId="0" borderId="0" xfId="0" applyNumberFormat="1" applyFill="1" applyAlignment="1">
      <alignment vertical="center"/>
    </xf>
    <xf numFmtId="2" fontId="0" fillId="0" borderId="0" xfId="0" applyNumberFormat="1" applyFont="1"/>
    <xf numFmtId="9" fontId="0" fillId="0" borderId="0" xfId="0" applyNumberFormat="1" applyFill="1" applyBorder="1" applyAlignment="1">
      <alignment horizontal="center" vertical="center"/>
    </xf>
    <xf numFmtId="3" fontId="0" fillId="3" borderId="1" xfId="0" applyNumberFormat="1" applyFill="1" applyBorder="1" applyAlignment="1" applyProtection="1">
      <alignment horizontal="right" vertical="center"/>
      <protection locked="0"/>
    </xf>
    <xf numFmtId="9" fontId="0" fillId="3" borderId="1" xfId="0" applyNumberFormat="1" applyFill="1" applyBorder="1" applyAlignment="1" applyProtection="1">
      <alignment horizontal="right" vertical="center"/>
      <protection locked="0"/>
    </xf>
    <xf numFmtId="166" fontId="0" fillId="3" borderId="1" xfId="0" applyNumberFormat="1" applyFill="1" applyBorder="1" applyAlignment="1" applyProtection="1">
      <alignment horizontal="right" vertical="center"/>
      <protection locked="0"/>
    </xf>
    <xf numFmtId="4" fontId="0" fillId="3" borderId="1" xfId="0" applyNumberFormat="1" applyFill="1" applyBorder="1" applyAlignment="1" applyProtection="1">
      <alignment horizontal="right" vertical="center"/>
      <protection locked="0"/>
    </xf>
    <xf numFmtId="165" fontId="0" fillId="3" borderId="1" xfId="0" applyNumberFormat="1" applyFill="1" applyBorder="1" applyAlignment="1" applyProtection="1">
      <alignment horizontal="right" vertical="center"/>
      <protection locked="0"/>
    </xf>
    <xf numFmtId="0" fontId="0" fillId="2" borderId="0" xfId="0" applyFill="1" applyAlignment="1" applyProtection="1">
      <alignment vertical="center"/>
    </xf>
    <xf numFmtId="3" fontId="0" fillId="2" borderId="0" xfId="0" applyNumberFormat="1" applyFill="1" applyBorder="1" applyAlignment="1" applyProtection="1">
      <alignment horizontal="center" vertical="center"/>
    </xf>
    <xf numFmtId="3" fontId="0" fillId="2" borderId="1" xfId="0" applyNumberFormat="1" applyFont="1" applyFill="1" applyBorder="1" applyAlignment="1" applyProtection="1">
      <alignment horizontal="center" vertical="center" wrapText="1"/>
    </xf>
    <xf numFmtId="3" fontId="0" fillId="2" borderId="0" xfId="0" applyNumberFormat="1" applyFill="1" applyBorder="1" applyAlignment="1" applyProtection="1">
      <alignment horizontal="left" vertical="center"/>
    </xf>
    <xf numFmtId="3" fontId="8" fillId="2" borderId="0" xfId="0" applyNumberFormat="1" applyFont="1" applyFill="1" applyBorder="1" applyAlignment="1" applyProtection="1">
      <alignment horizontal="left" vertical="center"/>
    </xf>
    <xf numFmtId="3" fontId="0" fillId="2" borderId="0" xfId="0" applyNumberFormat="1" applyFill="1" applyBorder="1" applyAlignment="1" applyProtection="1">
      <alignment horizontal="right" vertical="center"/>
    </xf>
    <xf numFmtId="4" fontId="0" fillId="2" borderId="1" xfId="0" applyNumberFormat="1" applyFill="1" applyBorder="1" applyAlignment="1" applyProtection="1">
      <alignment horizontal="center" vertical="center"/>
    </xf>
    <xf numFmtId="0" fontId="0" fillId="2" borderId="1" xfId="0" applyFill="1" applyBorder="1" applyAlignment="1" applyProtection="1">
      <alignment horizontal="center" vertical="center"/>
    </xf>
    <xf numFmtId="3" fontId="0" fillId="2" borderId="3" xfId="0" applyNumberFormat="1" applyFill="1" applyBorder="1" applyAlignment="1" applyProtection="1">
      <alignment horizontal="left" vertical="center"/>
    </xf>
    <xf numFmtId="9" fontId="0" fillId="2" borderId="1" xfId="0" applyNumberFormat="1" applyFill="1" applyBorder="1" applyAlignment="1" applyProtection="1">
      <alignment horizontal="center" vertical="center"/>
    </xf>
    <xf numFmtId="3" fontId="0" fillId="2" borderId="2" xfId="0" applyNumberFormat="1" applyFill="1" applyBorder="1" applyAlignment="1" applyProtection="1">
      <alignment horizontal="left" vertical="center"/>
    </xf>
    <xf numFmtId="0" fontId="0" fillId="2" borderId="1" xfId="0" applyFont="1" applyFill="1" applyBorder="1" applyAlignment="1" applyProtection="1">
      <alignment horizontal="center" vertical="center" wrapText="1"/>
    </xf>
    <xf numFmtId="165" fontId="0" fillId="2" borderId="1" xfId="0" applyNumberFormat="1" applyFill="1" applyBorder="1" applyAlignment="1" applyProtection="1">
      <alignment horizontal="center" vertical="center"/>
    </xf>
    <xf numFmtId="3" fontId="0" fillId="2" borderId="5" xfId="0" applyNumberFormat="1" applyFill="1" applyBorder="1" applyAlignment="1" applyProtection="1">
      <alignment horizontal="center" vertical="center"/>
    </xf>
    <xf numFmtId="3" fontId="0" fillId="2" borderId="2" xfId="0" applyNumberFormat="1" applyFill="1" applyBorder="1" applyAlignment="1" applyProtection="1">
      <alignment horizontal="center" vertical="center"/>
    </xf>
    <xf numFmtId="3" fontId="8" fillId="2" borderId="1" xfId="0" applyNumberFormat="1" applyFont="1" applyFill="1" applyBorder="1" applyAlignment="1" applyProtection="1">
      <alignment horizontal="left" vertical="center"/>
    </xf>
    <xf numFmtId="3" fontId="0" fillId="2" borderId="1" xfId="0" applyNumberFormat="1" applyFill="1" applyBorder="1" applyAlignment="1" applyProtection="1">
      <alignment horizontal="left" vertical="center"/>
    </xf>
    <xf numFmtId="3" fontId="0" fillId="2" borderId="1" xfId="0" applyNumberFormat="1" applyFill="1" applyBorder="1" applyAlignment="1" applyProtection="1">
      <alignment horizontal="center" vertical="center" wrapText="1"/>
    </xf>
    <xf numFmtId="3" fontId="0" fillId="2" borderId="1" xfId="0" applyNumberFormat="1" applyFill="1" applyBorder="1" applyAlignment="1" applyProtection="1">
      <alignment horizontal="center" vertical="center"/>
    </xf>
    <xf numFmtId="165" fontId="0" fillId="0" borderId="0" xfId="0" applyNumberFormat="1" applyFill="1" applyBorder="1" applyAlignment="1">
      <alignment horizontal="center" vertical="center"/>
    </xf>
    <xf numFmtId="0" fontId="0" fillId="2" borderId="0" xfId="0" applyFill="1" applyBorder="1" applyAlignment="1"/>
    <xf numFmtId="0" fontId="0" fillId="0" borderId="0" xfId="0" applyFill="1" applyAlignment="1" applyProtection="1">
      <alignment vertical="center"/>
    </xf>
    <xf numFmtId="3" fontId="0" fillId="4" borderId="3" xfId="0" applyNumberFormat="1" applyFill="1" applyBorder="1" applyAlignment="1" applyProtection="1">
      <alignment horizontal="left" vertical="center" wrapText="1"/>
    </xf>
    <xf numFmtId="3" fontId="0" fillId="4" borderId="6" xfId="0" applyNumberFormat="1" applyFill="1" applyBorder="1" applyAlignment="1" applyProtection="1">
      <alignment horizontal="left" vertical="center" wrapText="1"/>
    </xf>
    <xf numFmtId="3" fontId="0" fillId="4" borderId="4" xfId="0" applyNumberFormat="1" applyFill="1" applyBorder="1" applyAlignment="1" applyProtection="1">
      <alignment horizontal="left" vertical="center" wrapText="1"/>
    </xf>
    <xf numFmtId="3" fontId="0" fillId="2" borderId="1" xfId="0" applyNumberFormat="1" applyFill="1" applyBorder="1" applyAlignment="1" applyProtection="1">
      <alignment horizontal="center" vertical="center" wrapText="1"/>
    </xf>
    <xf numFmtId="3" fontId="0" fillId="2" borderId="1" xfId="0" applyNumberFormat="1" applyFill="1" applyBorder="1" applyAlignment="1" applyProtection="1">
      <alignment horizontal="center" vertical="center"/>
    </xf>
    <xf numFmtId="3" fontId="0" fillId="3" borderId="1" xfId="0" applyNumberFormat="1" applyFill="1" applyBorder="1" applyAlignment="1" applyProtection="1">
      <alignment horizontal="left" vertical="center"/>
      <protection locked="0"/>
    </xf>
    <xf numFmtId="3" fontId="8" fillId="2" borderId="1" xfId="0" applyNumberFormat="1" applyFont="1" applyFill="1" applyBorder="1" applyAlignment="1" applyProtection="1">
      <alignment horizontal="left" vertical="center"/>
    </xf>
    <xf numFmtId="3" fontId="8" fillId="2" borderId="1" xfId="0" applyNumberFormat="1" applyFont="1" applyFill="1" applyBorder="1" applyAlignment="1" applyProtection="1">
      <alignment horizontal="left"/>
    </xf>
    <xf numFmtId="3" fontId="0" fillId="2" borderId="1" xfId="0" applyNumberFormat="1" applyFont="1" applyFill="1" applyBorder="1" applyAlignment="1" applyProtection="1">
      <alignment horizontal="left" vertical="center"/>
    </xf>
    <xf numFmtId="3" fontId="8" fillId="2" borderId="3" xfId="0" applyNumberFormat="1" applyFont="1" applyFill="1" applyBorder="1" applyAlignment="1" applyProtection="1">
      <alignment horizontal="left" vertical="center"/>
    </xf>
    <xf numFmtId="3" fontId="8" fillId="2" borderId="4" xfId="0" applyNumberFormat="1" applyFont="1" applyFill="1" applyBorder="1" applyAlignment="1" applyProtection="1">
      <alignment horizontal="left" vertical="center"/>
    </xf>
    <xf numFmtId="3" fontId="0" fillId="2" borderId="1" xfId="0" applyNumberFormat="1" applyFill="1" applyBorder="1" applyAlignment="1" applyProtection="1">
      <alignment horizontal="left"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left"/>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wrapText="1"/>
    </xf>
    <xf numFmtId="0" fontId="0"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223838</xdr:colOff>
      <xdr:row>2</xdr:row>
      <xdr:rowOff>114300</xdr:rowOff>
    </xdr:from>
    <xdr:to>
      <xdr:col>21</xdr:col>
      <xdr:colOff>485903</xdr:colOff>
      <xdr:row>17</xdr:row>
      <xdr:rowOff>87484</xdr:rowOff>
    </xdr:to>
    <xdr:pic>
      <xdr:nvPicPr>
        <xdr:cNvPr id="3" name="Picture 2">
          <a:extLst>
            <a:ext uri="{FF2B5EF4-FFF2-40B4-BE49-F238E27FC236}">
              <a16:creationId xmlns:a16="http://schemas.microsoft.com/office/drawing/2014/main" id="{BE306221-A2FE-4764-A967-90729F2FF0E7}"/>
            </a:ext>
          </a:extLst>
        </xdr:cNvPr>
        <xdr:cNvPicPr>
          <a:picLocks noChangeAspect="1"/>
        </xdr:cNvPicPr>
      </xdr:nvPicPr>
      <xdr:blipFill>
        <a:blip xmlns:r="http://schemas.openxmlformats.org/officeDocument/2006/relationships" r:embed="rId1"/>
        <a:stretch>
          <a:fillRect/>
        </a:stretch>
      </xdr:blipFill>
      <xdr:spPr>
        <a:xfrm>
          <a:off x="7300913" y="476250"/>
          <a:ext cx="5877053" cy="27068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8"/>
  <sheetViews>
    <sheetView workbookViewId="0">
      <selection activeCell="G40" sqref="G40"/>
    </sheetView>
  </sheetViews>
  <sheetFormatPr defaultColWidth="8.73046875" defaultRowHeight="14.25" x14ac:dyDescent="0.45"/>
  <cols>
    <col min="1" max="1" width="23.1328125" style="50" customWidth="1"/>
    <col min="2" max="2" width="12.1328125" style="50" customWidth="1"/>
    <col min="3" max="3" width="7.3984375" style="50" customWidth="1"/>
    <col min="4" max="4" width="11.1328125" style="50" customWidth="1"/>
    <col min="5" max="6" width="5.1328125" style="50" customWidth="1"/>
    <col min="7" max="7" width="23.86328125" style="50" customWidth="1"/>
    <col min="8" max="9" width="8.59765625" style="50" customWidth="1"/>
    <col min="10" max="10" width="12.265625" style="50" customWidth="1"/>
    <col min="11" max="12" width="8.59765625" style="50" customWidth="1"/>
    <col min="13" max="13" width="9" style="50" customWidth="1"/>
    <col min="14" max="14" width="6.3984375" style="50" customWidth="1"/>
    <col min="15" max="15" width="7" style="50" customWidth="1"/>
    <col min="16" max="16" width="6.73046875" style="50" customWidth="1"/>
    <col min="17" max="17" width="5.73046875" style="50" customWidth="1"/>
    <col min="18" max="18" width="7.265625" style="50" customWidth="1"/>
    <col min="19" max="19" width="7.59765625" style="50" customWidth="1"/>
    <col min="20" max="20" width="6.265625" style="50" customWidth="1"/>
    <col min="21" max="16384" width="8.73046875" style="50"/>
  </cols>
  <sheetData>
    <row r="1" spans="1:19" s="84" customFormat="1" ht="93" customHeight="1" x14ac:dyDescent="0.45">
      <c r="A1" s="85" t="s">
        <v>192</v>
      </c>
      <c r="B1" s="86"/>
      <c r="C1" s="86"/>
      <c r="D1" s="86"/>
      <c r="E1" s="86"/>
      <c r="F1" s="86"/>
      <c r="G1" s="86"/>
      <c r="H1" s="86"/>
      <c r="I1" s="86"/>
      <c r="J1" s="87"/>
    </row>
    <row r="2" spans="1:19" x14ac:dyDescent="0.45">
      <c r="A2" s="78" t="s">
        <v>187</v>
      </c>
      <c r="B2" s="63"/>
      <c r="C2" s="63"/>
      <c r="D2" s="63"/>
      <c r="E2" s="63"/>
      <c r="F2" s="63"/>
      <c r="G2" s="91" t="s">
        <v>188</v>
      </c>
      <c r="H2" s="91"/>
      <c r="I2" s="63"/>
      <c r="J2" s="63"/>
      <c r="L2" s="49"/>
    </row>
    <row r="3" spans="1:19" x14ac:dyDescent="0.45">
      <c r="A3" s="79" t="s">
        <v>12</v>
      </c>
      <c r="B3" s="90"/>
      <c r="C3" s="90"/>
      <c r="D3" s="90"/>
      <c r="E3" s="90"/>
      <c r="F3" s="64"/>
      <c r="G3" s="79" t="s">
        <v>168</v>
      </c>
      <c r="H3" s="80" t="s">
        <v>166</v>
      </c>
      <c r="I3" s="80" t="s">
        <v>129</v>
      </c>
      <c r="J3" s="65" t="s">
        <v>167</v>
      </c>
      <c r="L3" s="49"/>
    </row>
    <row r="4" spans="1:19" x14ac:dyDescent="0.45">
      <c r="A4" s="79" t="s">
        <v>11</v>
      </c>
      <c r="B4" s="90"/>
      <c r="C4" s="90"/>
      <c r="D4" s="90"/>
      <c r="E4" s="90"/>
      <c r="F4" s="64"/>
      <c r="G4" s="79" t="s">
        <v>163</v>
      </c>
      <c r="H4" s="80" t="s">
        <v>164</v>
      </c>
      <c r="I4" s="80" t="s">
        <v>162</v>
      </c>
      <c r="J4" s="65" t="s">
        <v>165</v>
      </c>
      <c r="L4" s="49"/>
    </row>
    <row r="5" spans="1:19" x14ac:dyDescent="0.45">
      <c r="A5" s="79" t="s">
        <v>13</v>
      </c>
      <c r="B5" s="90"/>
      <c r="C5" s="90"/>
      <c r="D5" s="90"/>
      <c r="E5" s="90"/>
      <c r="F5" s="64"/>
      <c r="G5" s="79" t="str">
        <f>'Net H+ Production'!A4</f>
        <v>PCE</v>
      </c>
      <c r="H5" s="62"/>
      <c r="I5" s="62"/>
      <c r="J5" s="81">
        <f>(H5*Info!B$24+I5*Info!B$21)/1000000</f>
        <v>0</v>
      </c>
      <c r="L5" s="49"/>
    </row>
    <row r="6" spans="1:19" x14ac:dyDescent="0.45">
      <c r="A6" s="66"/>
      <c r="B6" s="64"/>
      <c r="C6" s="64"/>
      <c r="D6" s="64"/>
      <c r="E6" s="64"/>
      <c r="F6" s="64"/>
      <c r="G6" s="79" t="str">
        <f>'Net H+ Production'!A5</f>
        <v>TCE</v>
      </c>
      <c r="H6" s="62"/>
      <c r="I6" s="62"/>
      <c r="J6" s="81">
        <f>(H6*Info!B$24+I6*Info!B$21)/1000000</f>
        <v>0</v>
      </c>
      <c r="L6" s="49"/>
    </row>
    <row r="7" spans="1:19" ht="14.1" customHeight="1" x14ac:dyDescent="0.45">
      <c r="A7" s="67" t="s">
        <v>14</v>
      </c>
      <c r="B7" s="64"/>
      <c r="C7" s="64"/>
      <c r="D7" s="64"/>
      <c r="E7" s="64"/>
      <c r="F7" s="64"/>
      <c r="G7" s="79" t="str">
        <f>'Net H+ Production'!A6</f>
        <v>DCE</v>
      </c>
      <c r="H7" s="62"/>
      <c r="I7" s="62"/>
      <c r="J7" s="81">
        <f>(H7*Info!B$24+I7*Info!B$21)/1000000</f>
        <v>0</v>
      </c>
      <c r="L7" s="49"/>
    </row>
    <row r="8" spans="1:19" x14ac:dyDescent="0.45">
      <c r="A8" s="79" t="s">
        <v>15</v>
      </c>
      <c r="B8" s="90"/>
      <c r="C8" s="90"/>
      <c r="D8" s="90"/>
      <c r="E8" s="90"/>
      <c r="F8" s="64"/>
      <c r="G8" s="79" t="str">
        <f>'Net H+ Production'!A7</f>
        <v>VC</v>
      </c>
      <c r="H8" s="62"/>
      <c r="I8" s="62"/>
      <c r="J8" s="81">
        <f>(H8*Info!B$24+I8*Info!B$21)/1000000</f>
        <v>0</v>
      </c>
      <c r="L8" s="49"/>
    </row>
    <row r="9" spans="1:19" x14ac:dyDescent="0.45">
      <c r="A9" s="79" t="s">
        <v>16</v>
      </c>
      <c r="B9" s="60"/>
      <c r="C9" s="81" t="s">
        <v>21</v>
      </c>
      <c r="D9" s="81">
        <f>B9</f>
        <v>0</v>
      </c>
      <c r="E9" s="81" t="s">
        <v>40</v>
      </c>
      <c r="F9" s="64"/>
      <c r="G9" s="79" t="str">
        <f>'Net H+ Production'!A12</f>
        <v>Oxygen</v>
      </c>
      <c r="H9" s="62"/>
      <c r="I9" s="81" t="s">
        <v>81</v>
      </c>
      <c r="J9" s="81">
        <f>(H9*Info!B$24)/1000000</f>
        <v>0</v>
      </c>
      <c r="L9" s="49"/>
    </row>
    <row r="10" spans="1:19" x14ac:dyDescent="0.45">
      <c r="A10" s="79" t="s">
        <v>17</v>
      </c>
      <c r="B10" s="61"/>
      <c r="C10" s="81" t="s">
        <v>22</v>
      </c>
      <c r="D10" s="81">
        <f>B10/0.3048</f>
        <v>0</v>
      </c>
      <c r="E10" s="81" t="s">
        <v>41</v>
      </c>
      <c r="F10" s="64"/>
      <c r="G10" s="79" t="str">
        <f>'Net H+ Production'!A13</f>
        <v>Nitrate</v>
      </c>
      <c r="H10" s="62"/>
      <c r="I10" s="81" t="s">
        <v>81</v>
      </c>
      <c r="J10" s="81">
        <f>(H10*Info!B$24)/1000000</f>
        <v>0</v>
      </c>
      <c r="L10" s="49"/>
    </row>
    <row r="11" spans="1:19" ht="15.75" x14ac:dyDescent="0.45">
      <c r="A11" s="79" t="s">
        <v>18</v>
      </c>
      <c r="B11" s="61"/>
      <c r="C11" s="81" t="s">
        <v>121</v>
      </c>
      <c r="D11" s="81"/>
      <c r="E11" s="81"/>
      <c r="F11" s="64"/>
      <c r="G11" s="79" t="s">
        <v>186</v>
      </c>
      <c r="H11" s="62"/>
      <c r="I11" s="62"/>
      <c r="J11" s="81">
        <f>(H11*Info!B$24+I11*Info!B$21)/1000000</f>
        <v>0</v>
      </c>
      <c r="L11" s="49"/>
    </row>
    <row r="12" spans="1:19" ht="15.75" x14ac:dyDescent="0.45">
      <c r="A12" s="79" t="s">
        <v>19</v>
      </c>
      <c r="B12" s="61"/>
      <c r="C12" s="81" t="s">
        <v>122</v>
      </c>
      <c r="D12" s="81"/>
      <c r="E12" s="81"/>
      <c r="F12" s="64"/>
      <c r="G12" s="79" t="str">
        <f>'Net H+ Production'!A15</f>
        <v>Sulfate</v>
      </c>
      <c r="H12" s="62"/>
      <c r="I12" s="81" t="s">
        <v>81</v>
      </c>
      <c r="J12" s="81">
        <f>(H12*Info!B$24)/1000000</f>
        <v>0</v>
      </c>
      <c r="K12" s="49"/>
      <c r="L12" s="49"/>
    </row>
    <row r="13" spans="1:19" ht="15.6" customHeight="1" x14ac:dyDescent="0.45">
      <c r="A13" s="79" t="s">
        <v>20</v>
      </c>
      <c r="B13" s="69">
        <f>(1-B12)*B11</f>
        <v>0</v>
      </c>
      <c r="C13" s="81" t="s">
        <v>121</v>
      </c>
      <c r="D13" s="81">
        <f>B13*28.3168*2.2</f>
        <v>0</v>
      </c>
      <c r="E13" s="81" t="s">
        <v>123</v>
      </c>
      <c r="F13" s="64"/>
      <c r="G13" s="66"/>
      <c r="H13" s="68"/>
      <c r="I13" s="64"/>
      <c r="J13" s="64"/>
      <c r="K13" s="57"/>
      <c r="L13" s="49"/>
    </row>
    <row r="14" spans="1:19" ht="15.6" customHeight="1" x14ac:dyDescent="0.45">
      <c r="A14" s="66"/>
      <c r="B14" s="64"/>
      <c r="C14" s="64"/>
      <c r="D14" s="64"/>
      <c r="E14" s="64"/>
      <c r="F14" s="64"/>
      <c r="G14" s="92" t="s">
        <v>169</v>
      </c>
      <c r="H14" s="89" t="s">
        <v>178</v>
      </c>
      <c r="I14" s="89"/>
      <c r="J14" s="88" t="s">
        <v>172</v>
      </c>
      <c r="K14" s="49"/>
      <c r="L14" s="49"/>
    </row>
    <row r="15" spans="1:19" ht="17.100000000000001" customHeight="1" x14ac:dyDescent="0.45">
      <c r="A15" s="78" t="s">
        <v>175</v>
      </c>
      <c r="B15" s="64"/>
      <c r="C15" s="64"/>
      <c r="D15" s="64"/>
      <c r="E15" s="64"/>
      <c r="F15" s="64"/>
      <c r="G15" s="92"/>
      <c r="H15" s="70" t="s">
        <v>5</v>
      </c>
      <c r="I15" s="70" t="s">
        <v>83</v>
      </c>
      <c r="J15" s="88"/>
      <c r="K15" s="49"/>
      <c r="L15" s="49"/>
      <c r="O15" s="49"/>
      <c r="P15" s="49"/>
      <c r="Q15" s="49"/>
      <c r="R15" s="49"/>
      <c r="S15" s="49"/>
    </row>
    <row r="16" spans="1:19" x14ac:dyDescent="0.45">
      <c r="A16" s="73" t="s">
        <v>44</v>
      </c>
      <c r="B16" s="62"/>
      <c r="C16" s="81" t="s">
        <v>35</v>
      </c>
      <c r="D16" s="64"/>
      <c r="E16" s="64"/>
      <c r="F16" s="64"/>
      <c r="G16" s="71" t="s">
        <v>64</v>
      </c>
      <c r="H16" s="81">
        <f>I16/2.2</f>
        <v>0</v>
      </c>
      <c r="I16" s="62"/>
      <c r="J16" s="72">
        <v>1</v>
      </c>
      <c r="K16" s="49"/>
      <c r="L16" s="49"/>
      <c r="O16" s="49"/>
      <c r="P16" s="49"/>
      <c r="Q16" s="49"/>
    </row>
    <row r="17" spans="1:16" x14ac:dyDescent="0.45">
      <c r="A17" s="79" t="s">
        <v>29</v>
      </c>
      <c r="B17" s="62"/>
      <c r="C17" s="81" t="s">
        <v>9</v>
      </c>
      <c r="D17" s="81">
        <f>3.28084*B17</f>
        <v>0</v>
      </c>
      <c r="E17" s="81" t="s">
        <v>6</v>
      </c>
      <c r="F17" s="64"/>
      <c r="G17" s="71" t="s">
        <v>36</v>
      </c>
      <c r="H17" s="81">
        <f>I17/2.2</f>
        <v>0</v>
      </c>
      <c r="I17" s="62"/>
      <c r="J17" s="72">
        <v>1</v>
      </c>
      <c r="K17" s="49"/>
      <c r="L17" s="49"/>
    </row>
    <row r="18" spans="1:16" x14ac:dyDescent="0.45">
      <c r="A18" s="79" t="s">
        <v>30</v>
      </c>
      <c r="B18" s="62"/>
      <c r="C18" s="81" t="s">
        <v>9</v>
      </c>
      <c r="D18" s="81">
        <f>3.28084*B18</f>
        <v>0</v>
      </c>
      <c r="E18" s="81" t="s">
        <v>6</v>
      </c>
      <c r="F18" s="64"/>
      <c r="G18" s="71" t="s">
        <v>65</v>
      </c>
      <c r="H18" s="81">
        <f>I18/2.2</f>
        <v>0</v>
      </c>
      <c r="I18" s="62"/>
      <c r="J18" s="72">
        <v>1</v>
      </c>
      <c r="K18" s="49"/>
      <c r="L18" s="49"/>
    </row>
    <row r="19" spans="1:16" x14ac:dyDescent="0.45">
      <c r="A19" s="79" t="s">
        <v>31</v>
      </c>
      <c r="B19" s="62"/>
      <c r="C19" s="81" t="s">
        <v>9</v>
      </c>
      <c r="D19" s="81">
        <f>3.28084*B19</f>
        <v>0</v>
      </c>
      <c r="E19" s="81" t="s">
        <v>6</v>
      </c>
      <c r="F19" s="64"/>
      <c r="G19" s="71" t="s">
        <v>66</v>
      </c>
      <c r="H19" s="81">
        <f>I19/2.2</f>
        <v>0</v>
      </c>
      <c r="I19" s="62"/>
      <c r="J19" s="59">
        <v>0.5</v>
      </c>
      <c r="K19" s="49"/>
      <c r="L19" s="49"/>
    </row>
    <row r="20" spans="1:16" ht="15.75" x14ac:dyDescent="0.45">
      <c r="A20" s="79" t="s">
        <v>32</v>
      </c>
      <c r="B20" s="81">
        <f>B17*B18*B19</f>
        <v>0</v>
      </c>
      <c r="C20" s="81" t="s">
        <v>38</v>
      </c>
      <c r="D20" s="81">
        <f>D17*D18*D19</f>
        <v>0</v>
      </c>
      <c r="E20" s="81" t="s">
        <v>39</v>
      </c>
      <c r="F20" s="64"/>
      <c r="G20" s="71" t="s">
        <v>52</v>
      </c>
      <c r="H20" s="81">
        <f t="shared" ref="H20:H25" si="0">I20/2.2</f>
        <v>0</v>
      </c>
      <c r="I20" s="62"/>
      <c r="J20" s="72">
        <v>1</v>
      </c>
      <c r="K20" s="82"/>
      <c r="L20" s="49"/>
      <c r="M20" s="52"/>
      <c r="N20" s="52"/>
      <c r="O20" s="52"/>
      <c r="P20" s="52"/>
    </row>
    <row r="21" spans="1:16" x14ac:dyDescent="0.45">
      <c r="A21" s="79" t="s">
        <v>170</v>
      </c>
      <c r="B21" s="81">
        <f>1000*B20*B13</f>
        <v>0</v>
      </c>
      <c r="C21" s="81" t="s">
        <v>5</v>
      </c>
      <c r="D21" s="81">
        <f>D20*D13</f>
        <v>0</v>
      </c>
      <c r="E21" s="81" t="s">
        <v>83</v>
      </c>
      <c r="F21" s="64"/>
      <c r="G21" s="71" t="s">
        <v>54</v>
      </c>
      <c r="H21" s="81">
        <f t="shared" si="0"/>
        <v>0</v>
      </c>
      <c r="I21" s="62"/>
      <c r="J21" s="72">
        <v>1</v>
      </c>
      <c r="K21" s="49"/>
      <c r="L21" s="49"/>
      <c r="M21" s="52"/>
      <c r="N21" s="52"/>
      <c r="O21" s="52"/>
      <c r="P21" s="52"/>
    </row>
    <row r="22" spans="1:16" x14ac:dyDescent="0.45">
      <c r="A22" s="79" t="s">
        <v>33</v>
      </c>
      <c r="B22" s="81">
        <f>B20*B12*1000</f>
        <v>0</v>
      </c>
      <c r="C22" s="81" t="s">
        <v>7</v>
      </c>
      <c r="D22" s="81">
        <f>B22/3.7854</f>
        <v>0</v>
      </c>
      <c r="E22" s="81" t="s">
        <v>42</v>
      </c>
      <c r="F22" s="64"/>
      <c r="G22" s="71" t="s">
        <v>56</v>
      </c>
      <c r="H22" s="81">
        <f t="shared" si="0"/>
        <v>0</v>
      </c>
      <c r="I22" s="62"/>
      <c r="J22" s="72">
        <v>1</v>
      </c>
      <c r="K22" s="82"/>
      <c r="L22" s="49"/>
      <c r="M22" s="52"/>
      <c r="N22" s="52"/>
      <c r="O22" s="52"/>
      <c r="P22" s="52"/>
    </row>
    <row r="23" spans="1:16" x14ac:dyDescent="0.45">
      <c r="A23" s="79" t="s">
        <v>34</v>
      </c>
      <c r="B23" s="81">
        <f>B17*B19*B10*B9*1000*365</f>
        <v>0</v>
      </c>
      <c r="C23" s="81" t="s">
        <v>10</v>
      </c>
      <c r="D23" s="81" t="e">
        <f>D22/B25</f>
        <v>#DIV/0!</v>
      </c>
      <c r="E23" s="81" t="s">
        <v>43</v>
      </c>
      <c r="F23" s="64"/>
      <c r="G23" s="71" t="s">
        <v>58</v>
      </c>
      <c r="H23" s="81">
        <f t="shared" si="0"/>
        <v>0</v>
      </c>
      <c r="I23" s="62"/>
      <c r="J23" s="72">
        <v>1</v>
      </c>
      <c r="K23" s="82"/>
      <c r="L23" s="49"/>
      <c r="M23" s="52"/>
      <c r="N23" s="52"/>
      <c r="O23" s="52"/>
      <c r="P23" s="52"/>
    </row>
    <row r="24" spans="1:16" x14ac:dyDescent="0.45">
      <c r="A24" s="79" t="s">
        <v>171</v>
      </c>
      <c r="B24" s="81">
        <f>B23*B16+B22</f>
        <v>0</v>
      </c>
      <c r="C24" s="81" t="s">
        <v>7</v>
      </c>
      <c r="D24" s="81">
        <f>B24/3.7854</f>
        <v>0</v>
      </c>
      <c r="E24" s="81" t="s">
        <v>42</v>
      </c>
      <c r="F24" s="64"/>
      <c r="G24" s="71" t="s">
        <v>60</v>
      </c>
      <c r="H24" s="81">
        <f t="shared" si="0"/>
        <v>0</v>
      </c>
      <c r="I24" s="62"/>
      <c r="J24" s="59">
        <v>1</v>
      </c>
      <c r="K24" s="82"/>
      <c r="L24" s="49"/>
      <c r="M24" s="52"/>
      <c r="N24" s="52"/>
      <c r="O24" s="52"/>
      <c r="P24" s="52"/>
    </row>
    <row r="25" spans="1:16" x14ac:dyDescent="0.45">
      <c r="A25" s="79" t="s">
        <v>176</v>
      </c>
      <c r="B25" s="69" t="e">
        <f>B22/B23</f>
        <v>#DIV/0!</v>
      </c>
      <c r="C25" s="81" t="s">
        <v>35</v>
      </c>
      <c r="D25" s="81"/>
      <c r="E25" s="81"/>
      <c r="F25" s="64"/>
      <c r="G25" s="71" t="s">
        <v>174</v>
      </c>
      <c r="H25" s="81">
        <f t="shared" si="0"/>
        <v>0</v>
      </c>
      <c r="I25" s="62"/>
      <c r="J25" s="59">
        <v>1</v>
      </c>
      <c r="K25" s="82"/>
      <c r="L25" s="49"/>
      <c r="M25" s="52"/>
      <c r="N25" s="52"/>
      <c r="O25" s="52"/>
      <c r="P25" s="52"/>
    </row>
    <row r="26" spans="1:16" x14ac:dyDescent="0.45">
      <c r="A26" s="66"/>
      <c r="B26" s="64"/>
      <c r="C26" s="64"/>
      <c r="D26" s="64"/>
      <c r="E26" s="64"/>
      <c r="F26" s="64"/>
      <c r="G26" s="64"/>
      <c r="H26" s="64"/>
      <c r="I26" s="64"/>
      <c r="J26" s="64"/>
      <c r="K26" s="82"/>
      <c r="L26" s="49"/>
      <c r="M26" s="52"/>
      <c r="N26" s="52"/>
      <c r="O26" s="52"/>
      <c r="P26" s="52"/>
    </row>
    <row r="27" spans="1:16" ht="15.75" x14ac:dyDescent="0.45">
      <c r="A27" s="78" t="s">
        <v>23</v>
      </c>
      <c r="B27" s="64"/>
      <c r="C27" s="64"/>
      <c r="D27" s="64"/>
      <c r="E27" s="64"/>
      <c r="F27" s="64"/>
      <c r="G27" s="94" t="s">
        <v>182</v>
      </c>
      <c r="H27" s="95"/>
      <c r="I27" s="81" t="s">
        <v>124</v>
      </c>
      <c r="J27" s="64"/>
      <c r="K27" s="82"/>
      <c r="M27" s="52"/>
      <c r="N27" s="52"/>
      <c r="O27" s="52"/>
      <c r="P27" s="52"/>
    </row>
    <row r="28" spans="1:16" x14ac:dyDescent="0.45">
      <c r="A28" s="79" t="s">
        <v>85</v>
      </c>
      <c r="B28" s="62"/>
      <c r="C28" s="81" t="s">
        <v>27</v>
      </c>
      <c r="D28" s="74" t="s">
        <v>72</v>
      </c>
      <c r="E28" s="69">
        <f>(1-(1/(1+(10^(6.352-B28)))))</f>
        <v>0.99999955536893026</v>
      </c>
      <c r="F28" s="64"/>
      <c r="G28" s="96" t="s">
        <v>82</v>
      </c>
      <c r="H28" s="96"/>
      <c r="I28" s="81">
        <f>B34*B24/1000</f>
        <v>0</v>
      </c>
      <c r="J28" s="64"/>
      <c r="K28" s="82"/>
      <c r="M28" s="52"/>
      <c r="N28" s="52"/>
      <c r="O28" s="52"/>
      <c r="P28" s="52"/>
    </row>
    <row r="29" spans="1:16" x14ac:dyDescent="0.45">
      <c r="A29" s="79" t="s">
        <v>24</v>
      </c>
      <c r="B29" s="62"/>
      <c r="C29" s="81" t="s">
        <v>27</v>
      </c>
      <c r="D29" s="74" t="s">
        <v>72</v>
      </c>
      <c r="E29" s="69">
        <f>(1-(1/(1+(10^(6.352-B29)))))</f>
        <v>0.99999955536893026</v>
      </c>
      <c r="F29" s="64"/>
      <c r="G29" s="96" t="str">
        <f>A36</f>
        <v>Base to raise starting pH</v>
      </c>
      <c r="H29" s="96"/>
      <c r="I29" s="81">
        <f>B36</f>
        <v>0</v>
      </c>
      <c r="J29" s="64"/>
      <c r="K29" s="82"/>
      <c r="M29" s="52"/>
      <c r="N29" s="52"/>
      <c r="O29" s="52"/>
      <c r="P29" s="52"/>
    </row>
    <row r="30" spans="1:16" x14ac:dyDescent="0.45">
      <c r="A30" s="79" t="s">
        <v>191</v>
      </c>
      <c r="B30" s="58"/>
      <c r="C30" s="81" t="s">
        <v>8</v>
      </c>
      <c r="D30" s="64"/>
      <c r="E30" s="64"/>
      <c r="F30" s="64"/>
      <c r="G30" s="96" t="s">
        <v>183</v>
      </c>
      <c r="H30" s="96"/>
      <c r="I30" s="81">
        <f>'Net H+ Production'!K18</f>
        <v>0</v>
      </c>
      <c r="J30" s="63"/>
      <c r="K30" s="82"/>
      <c r="M30" s="52"/>
      <c r="N30" s="52"/>
      <c r="O30" s="52"/>
      <c r="P30" s="52"/>
    </row>
    <row r="31" spans="1:16" ht="15.75" x14ac:dyDescent="0.45">
      <c r="A31" s="79" t="s">
        <v>179</v>
      </c>
      <c r="B31" s="75">
        <f>IF(B29&lt;B28,(B30/12)*(E29-E28),0)</f>
        <v>0</v>
      </c>
      <c r="C31" s="81" t="s">
        <v>28</v>
      </c>
      <c r="D31" s="64"/>
      <c r="E31" s="64"/>
      <c r="F31" s="63"/>
      <c r="G31" s="96" t="s">
        <v>184</v>
      </c>
      <c r="H31" s="96"/>
      <c r="I31" s="81">
        <f>'Net H+ Production'!K19</f>
        <v>0</v>
      </c>
      <c r="J31" s="63"/>
      <c r="K31" s="82"/>
      <c r="M31" s="52"/>
      <c r="N31" s="52"/>
      <c r="O31" s="52"/>
      <c r="P31" s="52"/>
    </row>
    <row r="32" spans="1:16" ht="15.75" x14ac:dyDescent="0.45">
      <c r="A32" s="79" t="s">
        <v>180</v>
      </c>
      <c r="B32" s="75">
        <f>IF(B29&gt;B28,(-B30/12)*(E29-E28),0)</f>
        <v>0</v>
      </c>
      <c r="C32" s="81" t="s">
        <v>28</v>
      </c>
      <c r="D32" s="64"/>
      <c r="E32" s="64"/>
      <c r="F32" s="63"/>
      <c r="G32" s="96" t="s">
        <v>185</v>
      </c>
      <c r="H32" s="96"/>
      <c r="I32" s="81">
        <f>'Net H+ Production'!K20</f>
        <v>0</v>
      </c>
      <c r="J32" s="63"/>
      <c r="K32" s="82"/>
      <c r="M32" s="52"/>
      <c r="N32" s="52"/>
      <c r="O32" s="52"/>
      <c r="P32" s="52"/>
    </row>
    <row r="33" spans="1:19" x14ac:dyDescent="0.45">
      <c r="A33" s="79" t="s">
        <v>37</v>
      </c>
      <c r="B33" s="62"/>
      <c r="C33" s="81" t="s">
        <v>28</v>
      </c>
      <c r="D33" s="64"/>
      <c r="E33" s="64"/>
      <c r="F33" s="63"/>
      <c r="G33" s="96" t="s">
        <v>181</v>
      </c>
      <c r="H33" s="96"/>
      <c r="I33" s="81">
        <f>SUM(I28:I32)</f>
        <v>0</v>
      </c>
      <c r="J33" s="63"/>
      <c r="K33" s="82"/>
      <c r="M33" s="52"/>
      <c r="N33" s="52"/>
      <c r="O33" s="52"/>
      <c r="P33" s="52"/>
    </row>
    <row r="34" spans="1:19" ht="14.45" customHeight="1" x14ac:dyDescent="0.45">
      <c r="A34" s="79" t="s">
        <v>84</v>
      </c>
      <c r="B34" s="81">
        <f>B33+B31-B32</f>
        <v>0</v>
      </c>
      <c r="C34" s="76" t="s">
        <v>28</v>
      </c>
      <c r="D34" s="64"/>
      <c r="E34" s="64"/>
      <c r="F34" s="63"/>
      <c r="G34" s="96" t="s">
        <v>87</v>
      </c>
      <c r="H34" s="96"/>
      <c r="I34" s="81">
        <f>'Alkali Properties'!I14</f>
        <v>0</v>
      </c>
      <c r="J34" s="63"/>
      <c r="K34" s="82"/>
      <c r="M34" s="52"/>
      <c r="N34" s="52"/>
      <c r="O34" s="52"/>
      <c r="P34" s="52"/>
    </row>
    <row r="35" spans="1:19" x14ac:dyDescent="0.45">
      <c r="A35" s="79" t="s">
        <v>25</v>
      </c>
      <c r="B35" s="62"/>
      <c r="C35" s="93" t="s">
        <v>26</v>
      </c>
      <c r="D35" s="93"/>
      <c r="E35" s="64"/>
      <c r="F35" s="63"/>
      <c r="G35" s="96" t="s">
        <v>189</v>
      </c>
      <c r="H35" s="96"/>
      <c r="I35" s="72" t="e">
        <f>I34/I33</f>
        <v>#DIV/0!</v>
      </c>
      <c r="J35" s="63"/>
      <c r="K35" s="82"/>
    </row>
    <row r="36" spans="1:19" ht="15.75" x14ac:dyDescent="0.45">
      <c r="A36" s="79" t="s">
        <v>86</v>
      </c>
      <c r="B36" s="81">
        <f>(B28-B29)*B35*B21/1000</f>
        <v>0</v>
      </c>
      <c r="C36" s="77" t="s">
        <v>124</v>
      </c>
      <c r="D36" s="64"/>
      <c r="E36" s="64"/>
      <c r="F36" s="63"/>
      <c r="G36" s="63"/>
      <c r="H36" s="63"/>
      <c r="I36" s="63"/>
      <c r="J36" s="63"/>
      <c r="L36" s="49"/>
    </row>
    <row r="37" spans="1:19" x14ac:dyDescent="0.45">
      <c r="L37" s="49"/>
    </row>
    <row r="38" spans="1:19" x14ac:dyDescent="0.45">
      <c r="G38" s="49"/>
      <c r="H38" s="49"/>
      <c r="I38" s="49"/>
      <c r="J38" s="49"/>
      <c r="L38" s="49"/>
      <c r="M38" s="51"/>
      <c r="N38" s="49"/>
      <c r="O38" s="49"/>
      <c r="P38" s="49"/>
      <c r="Q38" s="49"/>
      <c r="R38" s="49"/>
      <c r="S38" s="49"/>
    </row>
    <row r="39" spans="1:19" x14ac:dyDescent="0.45">
      <c r="G39" s="49"/>
      <c r="H39" s="49"/>
      <c r="I39" s="49"/>
      <c r="J39" s="49"/>
      <c r="K39" s="49"/>
      <c r="L39" s="49"/>
      <c r="R39" s="49"/>
      <c r="S39" s="49"/>
    </row>
    <row r="40" spans="1:19" x14ac:dyDescent="0.45">
      <c r="G40" s="49"/>
      <c r="H40" s="49"/>
      <c r="I40" s="49"/>
      <c r="J40" s="49"/>
      <c r="K40" s="49"/>
      <c r="L40" s="49"/>
      <c r="R40" s="49"/>
      <c r="S40" s="49"/>
    </row>
    <row r="41" spans="1:19" ht="14.45" customHeight="1" x14ac:dyDescent="0.45">
      <c r="G41" s="49"/>
      <c r="H41" s="49"/>
      <c r="I41" s="49"/>
      <c r="J41" s="49"/>
      <c r="K41" s="49"/>
      <c r="L41" s="49"/>
      <c r="R41" s="49"/>
      <c r="S41" s="49"/>
    </row>
    <row r="42" spans="1:19" ht="15.95" customHeight="1" x14ac:dyDescent="0.45">
      <c r="G42" s="49"/>
      <c r="H42" s="49"/>
      <c r="I42" s="49"/>
      <c r="J42" s="49"/>
      <c r="K42" s="49"/>
      <c r="L42" s="49"/>
      <c r="R42" s="49"/>
      <c r="S42" s="49"/>
    </row>
    <row r="43" spans="1:19" ht="15" customHeight="1" x14ac:dyDescent="0.45">
      <c r="G43" s="49"/>
      <c r="H43" s="49"/>
      <c r="I43" s="49"/>
      <c r="J43" s="49"/>
      <c r="K43" s="49"/>
      <c r="L43" s="49"/>
      <c r="R43" s="49"/>
      <c r="S43" s="49"/>
    </row>
    <row r="44" spans="1:19" x14ac:dyDescent="0.45">
      <c r="G44" s="49"/>
      <c r="H44" s="49"/>
      <c r="I44" s="49"/>
      <c r="J44" s="49"/>
      <c r="K44" s="49"/>
      <c r="L44" s="49"/>
      <c r="R44" s="49"/>
      <c r="S44" s="49"/>
    </row>
    <row r="45" spans="1:19" x14ac:dyDescent="0.45">
      <c r="G45" s="49"/>
      <c r="H45" s="49"/>
      <c r="I45" s="49"/>
      <c r="J45" s="49"/>
      <c r="K45" s="49"/>
      <c r="L45" s="49"/>
      <c r="R45" s="49"/>
      <c r="S45" s="49"/>
    </row>
    <row r="46" spans="1:19" x14ac:dyDescent="0.45">
      <c r="G46" s="49"/>
      <c r="H46" s="49"/>
      <c r="I46" s="49"/>
      <c r="J46" s="49"/>
      <c r="K46" s="49"/>
      <c r="L46" s="49"/>
      <c r="R46" s="49"/>
      <c r="S46" s="49"/>
    </row>
    <row r="47" spans="1:19" ht="14.45" customHeight="1" x14ac:dyDescent="0.45">
      <c r="G47" s="49"/>
      <c r="H47" s="49"/>
      <c r="I47" s="49"/>
      <c r="J47" s="49"/>
      <c r="K47" s="49"/>
      <c r="L47" s="49"/>
      <c r="R47" s="49"/>
      <c r="S47" s="49"/>
    </row>
    <row r="48" spans="1:19" x14ac:dyDescent="0.45">
      <c r="G48" s="49"/>
      <c r="H48" s="49"/>
      <c r="I48" s="49"/>
      <c r="J48" s="49"/>
      <c r="K48" s="49"/>
      <c r="L48" s="49"/>
      <c r="R48" s="49"/>
      <c r="S48" s="49"/>
    </row>
    <row r="49" spans="2:19" ht="14.45" customHeight="1" x14ac:dyDescent="0.45">
      <c r="E49" s="49"/>
      <c r="G49" s="49"/>
      <c r="H49" s="49"/>
      <c r="I49" s="49"/>
      <c r="J49" s="49"/>
      <c r="K49" s="49"/>
      <c r="L49" s="49"/>
      <c r="R49" s="49"/>
      <c r="S49" s="49"/>
    </row>
    <row r="50" spans="2:19" ht="14.45" customHeight="1" x14ac:dyDescent="0.45">
      <c r="E50" s="49"/>
      <c r="G50" s="49"/>
      <c r="H50" s="49"/>
      <c r="I50" s="49"/>
      <c r="J50" s="49"/>
      <c r="K50" s="49"/>
      <c r="L50" s="49"/>
    </row>
    <row r="51" spans="2:19" x14ac:dyDescent="0.45">
      <c r="E51" s="49"/>
      <c r="G51" s="49"/>
      <c r="H51" s="49"/>
      <c r="I51" s="49"/>
      <c r="J51" s="49"/>
      <c r="K51" s="49"/>
      <c r="L51" s="49"/>
    </row>
    <row r="52" spans="2:19" x14ac:dyDescent="0.45">
      <c r="E52" s="49"/>
      <c r="G52" s="49"/>
      <c r="H52" s="49"/>
      <c r="I52" s="49"/>
      <c r="J52" s="49"/>
      <c r="K52" s="49"/>
      <c r="L52" s="49"/>
    </row>
    <row r="53" spans="2:19" x14ac:dyDescent="0.45">
      <c r="F53" s="49"/>
      <c r="G53" s="49"/>
      <c r="H53" s="49"/>
      <c r="I53" s="49"/>
      <c r="J53" s="49"/>
      <c r="K53" s="49"/>
      <c r="L53" s="49"/>
    </row>
    <row r="54" spans="2:19" ht="14.45" customHeight="1" x14ac:dyDescent="0.45">
      <c r="B54" s="52"/>
      <c r="C54" s="53"/>
      <c r="D54" s="54"/>
      <c r="E54" s="55"/>
      <c r="F54" s="49"/>
      <c r="G54" s="49"/>
      <c r="H54" s="49"/>
      <c r="I54" s="49"/>
      <c r="J54" s="49"/>
      <c r="K54" s="49"/>
      <c r="L54" s="49"/>
    </row>
    <row r="55" spans="2:19" x14ac:dyDescent="0.45">
      <c r="D55" s="54"/>
      <c r="E55" s="55"/>
      <c r="F55" s="49"/>
      <c r="K55" s="49"/>
      <c r="L55" s="49"/>
    </row>
    <row r="56" spans="2:19" x14ac:dyDescent="0.45">
      <c r="D56" s="54"/>
      <c r="F56" s="49"/>
    </row>
    <row r="57" spans="2:19" x14ac:dyDescent="0.45">
      <c r="D57" s="54"/>
      <c r="E57" s="55"/>
    </row>
    <row r="58" spans="2:19" x14ac:dyDescent="0.45">
      <c r="D58" s="54"/>
      <c r="E58" s="55"/>
    </row>
  </sheetData>
  <sheetProtection algorithmName="SHA-512" hashValue="RGelyBal4N11zV+90gijkM10rncktevm+dZtsVyg/Fojzc6FpxWwh7GPSNSH3PZllcNPdNV6DcRDI7hg8tIJRQ==" saltValue="Z5VCc4p0jN5aK5a1bJyhtw==" spinCount="100000" sheet="1" objects="1" scenarios="1"/>
  <mergeCells count="19">
    <mergeCell ref="C35:D35"/>
    <mergeCell ref="G27:H27"/>
    <mergeCell ref="G28:H28"/>
    <mergeCell ref="G29:H29"/>
    <mergeCell ref="G30:H30"/>
    <mergeCell ref="G31:H31"/>
    <mergeCell ref="G32:H32"/>
    <mergeCell ref="G33:H33"/>
    <mergeCell ref="G34:H34"/>
    <mergeCell ref="G35:H35"/>
    <mergeCell ref="A1:J1"/>
    <mergeCell ref="J14:J15"/>
    <mergeCell ref="H14:I14"/>
    <mergeCell ref="B8:E8"/>
    <mergeCell ref="B3:E3"/>
    <mergeCell ref="B4:E4"/>
    <mergeCell ref="B5:E5"/>
    <mergeCell ref="G2:H2"/>
    <mergeCell ref="G14:G15"/>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14"/>
  <sheetViews>
    <sheetView workbookViewId="0">
      <selection activeCell="E10" sqref="E10"/>
    </sheetView>
  </sheetViews>
  <sheetFormatPr defaultColWidth="8.73046875" defaultRowHeight="14.25" x14ac:dyDescent="0.45"/>
  <cols>
    <col min="1" max="1" width="21.3984375" style="1" customWidth="1"/>
    <col min="2" max="2" width="12.1328125" style="1" customWidth="1"/>
    <col min="3" max="3" width="8.73046875" style="1"/>
    <col min="4" max="4" width="9.73046875" style="1" customWidth="1"/>
    <col min="5" max="5" width="13.59765625" style="1" customWidth="1"/>
    <col min="6" max="16384" width="8.73046875" style="1"/>
  </cols>
  <sheetData>
    <row r="1" spans="1:9" x14ac:dyDescent="0.45">
      <c r="A1" s="98" t="s">
        <v>125</v>
      </c>
      <c r="B1" s="98"/>
      <c r="C1" s="6"/>
      <c r="D1" s="6"/>
      <c r="E1" s="6"/>
      <c r="F1" s="6"/>
      <c r="G1" s="6"/>
      <c r="H1" s="6"/>
      <c r="I1" s="6"/>
    </row>
    <row r="2" spans="1:9" x14ac:dyDescent="0.45">
      <c r="A2" s="6"/>
      <c r="B2" s="6"/>
      <c r="C2" s="6"/>
      <c r="D2" s="6"/>
      <c r="E2" s="6"/>
      <c r="F2" s="6"/>
      <c r="G2" s="6"/>
      <c r="H2" s="6"/>
      <c r="I2" s="6"/>
    </row>
    <row r="3" spans="1:9" x14ac:dyDescent="0.45">
      <c r="A3" s="45" t="s">
        <v>71</v>
      </c>
      <c r="B3" s="3">
        <f>Info!B28</f>
        <v>0</v>
      </c>
      <c r="C3" s="6"/>
      <c r="D3" s="6"/>
      <c r="E3" s="6"/>
      <c r="F3" s="6"/>
      <c r="G3" s="6"/>
      <c r="H3" s="6"/>
      <c r="I3" s="6"/>
    </row>
    <row r="4" spans="1:9" ht="15.75" x14ac:dyDescent="0.45">
      <c r="A4" s="45" t="s">
        <v>72</v>
      </c>
      <c r="B4" s="4">
        <f>1/(1+10^(-6.352)/(10^(-B3)))</f>
        <v>0.99999955536893037</v>
      </c>
      <c r="C4" s="7" t="s">
        <v>89</v>
      </c>
      <c r="D4" s="6"/>
      <c r="E4" s="6"/>
      <c r="F4" s="6"/>
      <c r="G4" s="6"/>
      <c r="H4" s="6"/>
      <c r="I4" s="6"/>
    </row>
    <row r="5" spans="1:9" ht="17.100000000000001" customHeight="1" x14ac:dyDescent="0.45">
      <c r="A5" s="101" t="s">
        <v>45</v>
      </c>
      <c r="B5" s="103" t="s">
        <v>46</v>
      </c>
      <c r="C5" s="47" t="s">
        <v>47</v>
      </c>
      <c r="D5" s="47" t="s">
        <v>48</v>
      </c>
      <c r="E5" s="103" t="s">
        <v>49</v>
      </c>
      <c r="F5" s="103" t="s">
        <v>90</v>
      </c>
      <c r="G5" s="103" t="s">
        <v>91</v>
      </c>
      <c r="H5" s="99" t="s">
        <v>173</v>
      </c>
      <c r="I5" s="100"/>
    </row>
    <row r="6" spans="1:9" ht="15.95" customHeight="1" x14ac:dyDescent="0.45">
      <c r="A6" s="102"/>
      <c r="B6" s="103"/>
      <c r="C6" s="47" t="s">
        <v>50</v>
      </c>
      <c r="D6" s="47" t="s">
        <v>51</v>
      </c>
      <c r="E6" s="103"/>
      <c r="F6" s="103"/>
      <c r="G6" s="103"/>
      <c r="H6" s="47" t="s">
        <v>5</v>
      </c>
      <c r="I6" s="2" t="s">
        <v>124</v>
      </c>
    </row>
    <row r="7" spans="1:9" x14ac:dyDescent="0.45">
      <c r="A7" s="45" t="s">
        <v>52</v>
      </c>
      <c r="B7" s="47" t="s">
        <v>0</v>
      </c>
      <c r="C7" s="47">
        <v>40</v>
      </c>
      <c r="D7" s="5">
        <v>1100</v>
      </c>
      <c r="E7" s="47" t="s">
        <v>53</v>
      </c>
      <c r="F7" s="47">
        <v>1</v>
      </c>
      <c r="G7" s="3">
        <f>F7*1000/C7</f>
        <v>25</v>
      </c>
      <c r="H7" s="3">
        <f>Info!H20*Info!J20</f>
        <v>0</v>
      </c>
      <c r="I7" s="5">
        <f t="shared" ref="I7:I11" si="0">H7*G7</f>
        <v>0</v>
      </c>
    </row>
    <row r="8" spans="1:9" x14ac:dyDescent="0.45">
      <c r="A8" s="45" t="s">
        <v>54</v>
      </c>
      <c r="B8" s="47" t="s">
        <v>55</v>
      </c>
      <c r="C8" s="47">
        <v>56.1</v>
      </c>
      <c r="D8" s="5">
        <v>1200</v>
      </c>
      <c r="E8" s="47" t="s">
        <v>53</v>
      </c>
      <c r="F8" s="47">
        <v>1</v>
      </c>
      <c r="G8" s="3">
        <f t="shared" ref="G8:G12" si="1">F8*1000/C8</f>
        <v>17.825311942959001</v>
      </c>
      <c r="H8" s="3">
        <f>Info!H21*Info!J21</f>
        <v>0</v>
      </c>
      <c r="I8" s="5">
        <f t="shared" si="0"/>
        <v>0</v>
      </c>
    </row>
    <row r="9" spans="1:9" ht="15.75" x14ac:dyDescent="0.45">
      <c r="A9" s="45" t="s">
        <v>56</v>
      </c>
      <c r="B9" s="47" t="s">
        <v>92</v>
      </c>
      <c r="C9" s="47">
        <v>106</v>
      </c>
      <c r="D9" s="47">
        <v>300</v>
      </c>
      <c r="E9" s="47" t="s">
        <v>57</v>
      </c>
      <c r="F9" s="4">
        <f>1+B$4</f>
        <v>1.9999995553689303</v>
      </c>
      <c r="G9" s="3">
        <f t="shared" si="1"/>
        <v>18.867920333669154</v>
      </c>
      <c r="H9" s="3">
        <f>Info!H22*Info!J22</f>
        <v>0</v>
      </c>
      <c r="I9" s="5">
        <f t="shared" si="0"/>
        <v>0</v>
      </c>
    </row>
    <row r="10" spans="1:9" ht="15.75" x14ac:dyDescent="0.45">
      <c r="A10" s="45" t="s">
        <v>58</v>
      </c>
      <c r="B10" s="47" t="s">
        <v>93</v>
      </c>
      <c r="C10" s="47">
        <v>84</v>
      </c>
      <c r="D10" s="47">
        <v>78</v>
      </c>
      <c r="E10" s="47" t="s">
        <v>59</v>
      </c>
      <c r="F10" s="4">
        <f>B$4</f>
        <v>0.99999955536893037</v>
      </c>
      <c r="G10" s="3">
        <f t="shared" si="1"/>
        <v>11.904756611534886</v>
      </c>
      <c r="H10" s="3">
        <f>Info!H23*Info!J23</f>
        <v>0</v>
      </c>
      <c r="I10" s="5">
        <f t="shared" si="0"/>
        <v>0</v>
      </c>
    </row>
    <row r="11" spans="1:9" ht="15.75" x14ac:dyDescent="0.45">
      <c r="A11" s="45" t="s">
        <v>60</v>
      </c>
      <c r="B11" s="47" t="s">
        <v>94</v>
      </c>
      <c r="C11" s="47">
        <v>74.099999999999994</v>
      </c>
      <c r="D11" s="47">
        <v>1.85</v>
      </c>
      <c r="E11" s="47" t="s">
        <v>61</v>
      </c>
      <c r="F11" s="47">
        <v>2</v>
      </c>
      <c r="G11" s="3">
        <f t="shared" si="1"/>
        <v>26.990553306342782</v>
      </c>
      <c r="H11" s="3">
        <f>Info!H24*Info!J24</f>
        <v>0</v>
      </c>
      <c r="I11" s="5">
        <f t="shared" si="0"/>
        <v>0</v>
      </c>
    </row>
    <row r="12" spans="1:9" ht="19.5" customHeight="1" x14ac:dyDescent="0.45">
      <c r="A12" s="45" t="s">
        <v>174</v>
      </c>
      <c r="B12" s="47" t="s">
        <v>95</v>
      </c>
      <c r="C12" s="47">
        <v>58.3</v>
      </c>
      <c r="D12" s="47">
        <v>0.01</v>
      </c>
      <c r="E12" s="47" t="s">
        <v>62</v>
      </c>
      <c r="F12" s="47">
        <v>2</v>
      </c>
      <c r="G12" s="3">
        <f t="shared" si="1"/>
        <v>34.305317324185253</v>
      </c>
      <c r="H12" s="3">
        <f>Info!H25*Info!J25</f>
        <v>0</v>
      </c>
      <c r="I12" s="5">
        <f>H12*G12</f>
        <v>0</v>
      </c>
    </row>
    <row r="13" spans="1:9" x14ac:dyDescent="0.45">
      <c r="A13" s="6"/>
      <c r="B13" s="6"/>
      <c r="C13" s="6"/>
      <c r="D13" s="6"/>
      <c r="E13" s="6"/>
      <c r="F13" s="6"/>
      <c r="G13" s="6"/>
      <c r="H13" s="6"/>
      <c r="I13" s="21"/>
    </row>
    <row r="14" spans="1:9" x14ac:dyDescent="0.45">
      <c r="A14" s="97" t="s">
        <v>87</v>
      </c>
      <c r="B14" s="97"/>
      <c r="C14" s="97"/>
      <c r="D14" s="97"/>
      <c r="E14" s="97"/>
      <c r="F14" s="6"/>
      <c r="G14" s="6"/>
      <c r="H14" s="6"/>
      <c r="I14" s="5">
        <f>SUM(I7:I12)</f>
        <v>0</v>
      </c>
    </row>
  </sheetData>
  <sheetProtection sheet="1" objects="1" scenarios="1"/>
  <mergeCells count="8">
    <mergeCell ref="A14:E14"/>
    <mergeCell ref="A1:B1"/>
    <mergeCell ref="H5:I5"/>
    <mergeCell ref="A5:A6"/>
    <mergeCell ref="B5:B6"/>
    <mergeCell ref="E5:E6"/>
    <mergeCell ref="F5:F6"/>
    <mergeCell ref="G5: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M20"/>
  <sheetViews>
    <sheetView zoomScaleNormal="100" workbookViewId="0">
      <selection activeCell="A4" sqref="A4"/>
    </sheetView>
  </sheetViews>
  <sheetFormatPr defaultColWidth="8.73046875" defaultRowHeight="14.25" x14ac:dyDescent="0.45"/>
  <cols>
    <col min="1" max="1" width="13.1328125" style="1" customWidth="1"/>
    <col min="2" max="2" width="10" style="1" customWidth="1"/>
    <col min="3" max="3" width="6.86328125" style="1" customWidth="1"/>
    <col min="4" max="4" width="55.86328125" style="1" customWidth="1"/>
    <col min="5" max="5" width="11" style="1" customWidth="1"/>
    <col min="6" max="6" width="8.73046875" style="1" customWidth="1"/>
    <col min="7" max="7" width="7.3984375" style="1" customWidth="1"/>
    <col min="8" max="8" width="10" style="1" customWidth="1"/>
    <col min="9" max="9" width="7.3984375" style="1" customWidth="1"/>
    <col min="10" max="10" width="10.1328125" style="1" customWidth="1"/>
    <col min="11" max="11" width="8.73046875" style="1"/>
    <col min="12" max="12" width="9.59765625" style="1" customWidth="1"/>
    <col min="13" max="16384" width="8.73046875" style="1"/>
  </cols>
  <sheetData>
    <row r="1" spans="1:13" x14ac:dyDescent="0.45">
      <c r="A1" s="8" t="s">
        <v>71</v>
      </c>
      <c r="B1" s="3">
        <f>Info!B28</f>
        <v>0</v>
      </c>
      <c r="C1" s="6"/>
      <c r="D1" s="6"/>
      <c r="E1" s="6"/>
      <c r="F1" s="6"/>
      <c r="G1" s="6"/>
      <c r="H1" s="6"/>
      <c r="I1" s="6"/>
      <c r="J1" s="104" t="s">
        <v>177</v>
      </c>
      <c r="K1" s="6"/>
      <c r="L1" s="6"/>
    </row>
    <row r="2" spans="1:13" ht="17.100000000000001" customHeight="1" x14ac:dyDescent="0.45">
      <c r="A2" s="9" t="s">
        <v>72</v>
      </c>
      <c r="B2" s="10">
        <f>1/(1+10^(-6.352)/(10^(-B1)))</f>
        <v>0.99999955536893037</v>
      </c>
      <c r="C2" s="12"/>
      <c r="D2" s="11" t="s">
        <v>89</v>
      </c>
      <c r="E2" s="103" t="s">
        <v>96</v>
      </c>
      <c r="F2" s="103"/>
      <c r="G2" s="103"/>
      <c r="H2" s="99" t="s">
        <v>159</v>
      </c>
      <c r="I2" s="105"/>
      <c r="J2" s="104"/>
      <c r="K2" s="46" t="s">
        <v>160</v>
      </c>
      <c r="L2" s="46" t="s">
        <v>161</v>
      </c>
    </row>
    <row r="3" spans="1:13" ht="15.95" customHeight="1" x14ac:dyDescent="0.45">
      <c r="A3" s="8" t="s">
        <v>190</v>
      </c>
      <c r="B3" s="47" t="s">
        <v>46</v>
      </c>
      <c r="C3" s="47" t="s">
        <v>47</v>
      </c>
      <c r="D3" s="8" t="s">
        <v>63</v>
      </c>
      <c r="E3" s="47" t="s">
        <v>79</v>
      </c>
      <c r="F3" s="47" t="s">
        <v>79</v>
      </c>
      <c r="G3" s="47" t="s">
        <v>80</v>
      </c>
      <c r="H3" s="47" t="s">
        <v>79</v>
      </c>
      <c r="I3" s="47" t="s">
        <v>80</v>
      </c>
      <c r="J3" s="47" t="s">
        <v>5</v>
      </c>
      <c r="K3" s="47" t="s">
        <v>88</v>
      </c>
      <c r="L3" s="47" t="s">
        <v>155</v>
      </c>
    </row>
    <row r="4" spans="1:13" ht="15.95" customHeight="1" x14ac:dyDescent="0.45">
      <c r="A4" s="8" t="s">
        <v>1</v>
      </c>
      <c r="B4" s="8" t="s">
        <v>97</v>
      </c>
      <c r="C4" s="3">
        <v>165.83340000000001</v>
      </c>
      <c r="D4" s="8" t="s">
        <v>154</v>
      </c>
      <c r="E4" s="47">
        <v>4</v>
      </c>
      <c r="F4" s="47">
        <v>4</v>
      </c>
      <c r="G4" s="3">
        <f t="shared" ref="G4:G16" si="0">F4*1000/C4</f>
        <v>24.120593318354445</v>
      </c>
      <c r="H4" s="48">
        <v>-4</v>
      </c>
      <c r="I4" s="3">
        <f>H4*1000/C4</f>
        <v>-24.120593318354445</v>
      </c>
      <c r="J4" s="3">
        <f>Info!J5</f>
        <v>0</v>
      </c>
      <c r="K4" s="2">
        <f>J4*G4</f>
        <v>0</v>
      </c>
      <c r="L4" s="2">
        <f>J4*I4</f>
        <v>0</v>
      </c>
    </row>
    <row r="5" spans="1:13" ht="15.95" customHeight="1" x14ac:dyDescent="0.45">
      <c r="A5" s="8" t="s">
        <v>2</v>
      </c>
      <c r="B5" s="8" t="s">
        <v>98</v>
      </c>
      <c r="C5" s="3">
        <v>131.38834</v>
      </c>
      <c r="D5" s="8" t="s">
        <v>99</v>
      </c>
      <c r="E5" s="47">
        <v>3</v>
      </c>
      <c r="F5" s="47">
        <v>3</v>
      </c>
      <c r="G5" s="3">
        <f t="shared" si="0"/>
        <v>22.833076359743949</v>
      </c>
      <c r="H5" s="48">
        <v>-3</v>
      </c>
      <c r="I5" s="3">
        <f t="shared" ref="I5:I16" si="1">H5*1000/C5</f>
        <v>-22.833076359743949</v>
      </c>
      <c r="J5" s="3">
        <f>Info!J6</f>
        <v>0</v>
      </c>
      <c r="K5" s="2">
        <f t="shared" ref="K5:K16" si="2">J5*G5</f>
        <v>0</v>
      </c>
      <c r="L5" s="2">
        <f t="shared" ref="L5:L15" si="3">J5*I5</f>
        <v>0</v>
      </c>
    </row>
    <row r="6" spans="1:13" ht="15.95" customHeight="1" x14ac:dyDescent="0.45">
      <c r="A6" s="8" t="s">
        <v>3</v>
      </c>
      <c r="B6" s="8" t="s">
        <v>100</v>
      </c>
      <c r="C6" s="3">
        <v>96.943280000000001</v>
      </c>
      <c r="D6" s="8" t="s">
        <v>101</v>
      </c>
      <c r="E6" s="47">
        <v>2</v>
      </c>
      <c r="F6" s="47">
        <v>2</v>
      </c>
      <c r="G6" s="3">
        <f t="shared" si="0"/>
        <v>20.630620296734339</v>
      </c>
      <c r="H6" s="48">
        <v>-2</v>
      </c>
      <c r="I6" s="3">
        <f t="shared" si="1"/>
        <v>-20.630620296734339</v>
      </c>
      <c r="J6" s="3">
        <f>Info!J7</f>
        <v>0</v>
      </c>
      <c r="K6" s="2">
        <f t="shared" si="2"/>
        <v>0</v>
      </c>
      <c r="L6" s="2">
        <f t="shared" si="3"/>
        <v>0</v>
      </c>
    </row>
    <row r="7" spans="1:13" ht="15.95" customHeight="1" x14ac:dyDescent="0.45">
      <c r="A7" s="8" t="s">
        <v>4</v>
      </c>
      <c r="B7" s="8" t="s">
        <v>102</v>
      </c>
      <c r="C7" s="3">
        <v>62.498220000000003</v>
      </c>
      <c r="D7" s="8" t="s">
        <v>103</v>
      </c>
      <c r="E7" s="47">
        <v>1</v>
      </c>
      <c r="F7" s="47">
        <v>1</v>
      </c>
      <c r="G7" s="3">
        <f t="shared" si="0"/>
        <v>16.000455692978136</v>
      </c>
      <c r="H7" s="48">
        <v>-4</v>
      </c>
      <c r="I7" s="3">
        <f t="shared" si="1"/>
        <v>-64.001822771912543</v>
      </c>
      <c r="J7" s="3">
        <f>Info!J8</f>
        <v>0</v>
      </c>
      <c r="K7" s="2">
        <f t="shared" si="2"/>
        <v>0</v>
      </c>
      <c r="L7" s="2">
        <f t="shared" si="3"/>
        <v>0</v>
      </c>
    </row>
    <row r="8" spans="1:13" ht="15.95" customHeight="1" x14ac:dyDescent="0.45">
      <c r="A8" s="45" t="s">
        <v>64</v>
      </c>
      <c r="B8" s="8" t="s">
        <v>104</v>
      </c>
      <c r="C8" s="3">
        <v>60.051959999999994</v>
      </c>
      <c r="D8" s="8" t="s">
        <v>113</v>
      </c>
      <c r="E8" s="47" t="s">
        <v>73</v>
      </c>
      <c r="F8" s="4">
        <f>2*(1-B$2)</f>
        <v>8.8926213925866193E-7</v>
      </c>
      <c r="G8" s="3">
        <f t="shared" si="0"/>
        <v>1.4808211742941646E-5</v>
      </c>
      <c r="H8" s="48">
        <v>4</v>
      </c>
      <c r="I8" s="3">
        <f t="shared" si="1"/>
        <v>66.608983287140006</v>
      </c>
      <c r="J8" s="3">
        <f>Info!H16*Info!J16</f>
        <v>0</v>
      </c>
      <c r="K8" s="2">
        <f t="shared" si="2"/>
        <v>0</v>
      </c>
      <c r="L8" s="2">
        <f t="shared" si="3"/>
        <v>0</v>
      </c>
    </row>
    <row r="9" spans="1:13" ht="15.95" customHeight="1" x14ac:dyDescent="0.45">
      <c r="A9" s="45" t="s">
        <v>36</v>
      </c>
      <c r="B9" s="8" t="s">
        <v>105</v>
      </c>
      <c r="C9" s="3">
        <v>90.077939999999998</v>
      </c>
      <c r="D9" s="8" t="s">
        <v>114</v>
      </c>
      <c r="E9" s="47" t="s">
        <v>74</v>
      </c>
      <c r="F9" s="4">
        <f>3*(1-B$2)</f>
        <v>1.3338932088879929E-6</v>
      </c>
      <c r="G9" s="3">
        <f t="shared" si="0"/>
        <v>1.4808211742941644E-5</v>
      </c>
      <c r="H9" s="48">
        <v>6</v>
      </c>
      <c r="I9" s="3">
        <f t="shared" si="1"/>
        <v>66.608983287140006</v>
      </c>
      <c r="J9" s="3">
        <f>Info!H17*Info!J17</f>
        <v>0</v>
      </c>
      <c r="K9" s="2">
        <f t="shared" si="2"/>
        <v>0</v>
      </c>
      <c r="L9" s="2">
        <f t="shared" si="3"/>
        <v>0</v>
      </c>
    </row>
    <row r="10" spans="1:13" ht="15.95" customHeight="1" x14ac:dyDescent="0.45">
      <c r="A10" s="45" t="s">
        <v>65</v>
      </c>
      <c r="B10" s="8" t="s">
        <v>106</v>
      </c>
      <c r="C10" s="3">
        <v>180.15588</v>
      </c>
      <c r="D10" s="8" t="s">
        <v>115</v>
      </c>
      <c r="E10" s="47" t="s">
        <v>75</v>
      </c>
      <c r="F10" s="4">
        <f>6*(1-B$2)</f>
        <v>2.6677864177759858E-6</v>
      </c>
      <c r="G10" s="3">
        <f t="shared" si="0"/>
        <v>1.4808211742941644E-5</v>
      </c>
      <c r="H10" s="48">
        <v>12</v>
      </c>
      <c r="I10" s="3">
        <f t="shared" si="1"/>
        <v>66.608983287140006</v>
      </c>
      <c r="J10" s="3">
        <f>Info!H18*Info!J18</f>
        <v>0</v>
      </c>
      <c r="K10" s="2">
        <f t="shared" si="2"/>
        <v>0</v>
      </c>
      <c r="L10" s="2">
        <f t="shared" si="3"/>
        <v>0</v>
      </c>
    </row>
    <row r="11" spans="1:13" ht="15.95" customHeight="1" x14ac:dyDescent="0.45">
      <c r="A11" s="45" t="s">
        <v>66</v>
      </c>
      <c r="B11" s="8" t="s">
        <v>107</v>
      </c>
      <c r="C11" s="3">
        <v>869.38959999999997</v>
      </c>
      <c r="D11" s="8" t="s">
        <v>116</v>
      </c>
      <c r="E11" s="47" t="s">
        <v>76</v>
      </c>
      <c r="F11" s="4">
        <f>56*(1-B$2)</f>
        <v>2.4899339899242534E-5</v>
      </c>
      <c r="G11" s="3">
        <f>F11*1000/C11</f>
        <v>2.8640025023582677E-5</v>
      </c>
      <c r="H11" s="48">
        <v>156</v>
      </c>
      <c r="I11" s="3">
        <f t="shared" si="1"/>
        <v>179.43623894281689</v>
      </c>
      <c r="J11" s="3">
        <f>Info!H19*Info!J19</f>
        <v>0</v>
      </c>
      <c r="K11" s="2">
        <f>J11*G11</f>
        <v>0</v>
      </c>
      <c r="L11" s="2">
        <f t="shared" si="3"/>
        <v>0</v>
      </c>
    </row>
    <row r="12" spans="1:13" ht="15.95" customHeight="1" x14ac:dyDescent="0.45">
      <c r="A12" s="8" t="s">
        <v>67</v>
      </c>
      <c r="B12" s="8" t="s">
        <v>108</v>
      </c>
      <c r="C12" s="3">
        <v>31.998799999999999</v>
      </c>
      <c r="D12" s="8" t="s">
        <v>117</v>
      </c>
      <c r="E12" s="47">
        <v>0</v>
      </c>
      <c r="F12" s="47">
        <v>0</v>
      </c>
      <c r="G12" s="3">
        <f t="shared" si="0"/>
        <v>0</v>
      </c>
      <c r="H12" s="48">
        <v>-2</v>
      </c>
      <c r="I12" s="3">
        <f t="shared" si="1"/>
        <v>-62.502343837893925</v>
      </c>
      <c r="J12" s="3">
        <f>Info!J9</f>
        <v>0</v>
      </c>
      <c r="K12" s="2">
        <f t="shared" si="2"/>
        <v>0</v>
      </c>
      <c r="L12" s="2">
        <f t="shared" si="3"/>
        <v>0</v>
      </c>
    </row>
    <row r="13" spans="1:13" ht="15.95" customHeight="1" x14ac:dyDescent="0.45">
      <c r="A13" s="8" t="s">
        <v>68</v>
      </c>
      <c r="B13" s="8" t="s">
        <v>109</v>
      </c>
      <c r="C13" s="3">
        <v>62.004899999999999</v>
      </c>
      <c r="D13" s="8" t="s">
        <v>118</v>
      </c>
      <c r="E13" s="47">
        <v>-1</v>
      </c>
      <c r="F13" s="47">
        <v>-1</v>
      </c>
      <c r="G13" s="3">
        <f t="shared" si="0"/>
        <v>-16.127757644960319</v>
      </c>
      <c r="H13" s="3">
        <v>-2.5</v>
      </c>
      <c r="I13" s="3">
        <f t="shared" si="1"/>
        <v>-40.319394112400794</v>
      </c>
      <c r="J13" s="3">
        <f>Info!J10</f>
        <v>0</v>
      </c>
      <c r="K13" s="2">
        <f t="shared" si="2"/>
        <v>0</v>
      </c>
      <c r="L13" s="2">
        <f t="shared" si="3"/>
        <v>0</v>
      </c>
    </row>
    <row r="14" spans="1:13" ht="15.95" customHeight="1" x14ac:dyDescent="0.45">
      <c r="A14" s="8" t="s">
        <v>69</v>
      </c>
      <c r="B14" s="8" t="s">
        <v>110</v>
      </c>
      <c r="C14" s="3">
        <v>55.844999999999999</v>
      </c>
      <c r="D14" s="8" t="s">
        <v>119</v>
      </c>
      <c r="E14" s="47">
        <v>-2</v>
      </c>
      <c r="F14" s="47">
        <v>-2</v>
      </c>
      <c r="G14" s="3">
        <f t="shared" si="0"/>
        <v>-35.813412122840006</v>
      </c>
      <c r="H14" s="3">
        <v>-0.5</v>
      </c>
      <c r="I14" s="3">
        <f t="shared" si="1"/>
        <v>-8.9533530307100015</v>
      </c>
      <c r="J14" s="3">
        <f>Info!J11</f>
        <v>0</v>
      </c>
      <c r="K14" s="2">
        <f t="shared" si="2"/>
        <v>0</v>
      </c>
      <c r="L14" s="2">
        <f t="shared" si="3"/>
        <v>0</v>
      </c>
    </row>
    <row r="15" spans="1:13" ht="15.95" customHeight="1" x14ac:dyDescent="0.45">
      <c r="A15" s="8" t="s">
        <v>70</v>
      </c>
      <c r="B15" s="8" t="s">
        <v>111</v>
      </c>
      <c r="C15" s="3">
        <v>96.062600000000003</v>
      </c>
      <c r="D15" s="8" t="s">
        <v>153</v>
      </c>
      <c r="E15" s="47">
        <v>0</v>
      </c>
      <c r="F15" s="47">
        <v>0</v>
      </c>
      <c r="G15" s="3">
        <f t="shared" si="0"/>
        <v>0</v>
      </c>
      <c r="H15" s="48">
        <v>-4</v>
      </c>
      <c r="I15" s="3">
        <f t="shared" si="1"/>
        <v>-41.639514233426951</v>
      </c>
      <c r="J15" s="3">
        <f>Info!J12</f>
        <v>0</v>
      </c>
      <c r="K15" s="2">
        <f t="shared" si="2"/>
        <v>0</v>
      </c>
      <c r="L15" s="2">
        <f t="shared" si="3"/>
        <v>0</v>
      </c>
    </row>
    <row r="16" spans="1:13" ht="15.95" customHeight="1" x14ac:dyDescent="0.45">
      <c r="A16" s="45" t="s">
        <v>78</v>
      </c>
      <c r="B16" s="8" t="s">
        <v>112</v>
      </c>
      <c r="C16" s="3">
        <v>16.042459999999998</v>
      </c>
      <c r="D16" s="8" t="s">
        <v>120</v>
      </c>
      <c r="E16" s="47" t="s">
        <v>77</v>
      </c>
      <c r="F16" s="3">
        <f>B$2-1</f>
        <v>-4.4463106962933097E-7</v>
      </c>
      <c r="G16" s="3">
        <f t="shared" si="0"/>
        <v>-2.7715890806605158E-5</v>
      </c>
      <c r="H16" s="48">
        <v>-4</v>
      </c>
      <c r="I16" s="3">
        <f t="shared" si="1"/>
        <v>-249.33831843744665</v>
      </c>
      <c r="J16" s="3">
        <f>L16/I16</f>
        <v>0</v>
      </c>
      <c r="K16" s="2">
        <f t="shared" si="2"/>
        <v>0</v>
      </c>
      <c r="L16" s="2">
        <f>-SUM(L4:L15)</f>
        <v>0</v>
      </c>
      <c r="M16" s="56"/>
    </row>
    <row r="17" spans="1:12" ht="15.95" customHeight="1" x14ac:dyDescent="0.45">
      <c r="A17" s="6"/>
      <c r="B17" s="6"/>
      <c r="C17" s="6"/>
      <c r="D17" s="6"/>
      <c r="E17" s="6"/>
      <c r="F17" s="6"/>
      <c r="G17" s="6"/>
      <c r="H17" s="6"/>
      <c r="I17" s="6"/>
      <c r="J17" s="6"/>
      <c r="K17" s="13"/>
      <c r="L17" s="13"/>
    </row>
    <row r="18" spans="1:12" ht="15.95" customHeight="1" x14ac:dyDescent="0.45">
      <c r="A18" s="97" t="s">
        <v>157</v>
      </c>
      <c r="B18" s="97"/>
      <c r="C18" s="97"/>
      <c r="D18" s="97"/>
      <c r="E18" s="6"/>
      <c r="F18" s="6"/>
      <c r="G18" s="6"/>
      <c r="H18" s="6"/>
      <c r="I18" s="6"/>
      <c r="J18" s="6"/>
      <c r="K18" s="2">
        <f>SUM(K4:K7)</f>
        <v>0</v>
      </c>
      <c r="L18" s="2">
        <f>SUM(L4:L7)</f>
        <v>0</v>
      </c>
    </row>
    <row r="19" spans="1:12" ht="15.95" customHeight="1" x14ac:dyDescent="0.45">
      <c r="A19" s="97" t="s">
        <v>158</v>
      </c>
      <c r="B19" s="97"/>
      <c r="C19" s="97"/>
      <c r="D19" s="97"/>
      <c r="E19" s="6"/>
      <c r="F19" s="6"/>
      <c r="G19" s="6"/>
      <c r="H19" s="6"/>
      <c r="I19" s="6"/>
      <c r="J19" s="6"/>
      <c r="K19" s="2">
        <f>SUM(K8:K11)</f>
        <v>0</v>
      </c>
      <c r="L19" s="2">
        <f>SUM(L8:L11)</f>
        <v>0</v>
      </c>
    </row>
    <row r="20" spans="1:12" ht="15.95" customHeight="1" x14ac:dyDescent="0.45">
      <c r="A20" s="97" t="s">
        <v>156</v>
      </c>
      <c r="B20" s="97"/>
      <c r="C20" s="97"/>
      <c r="D20" s="97"/>
      <c r="E20" s="6"/>
      <c r="F20" s="6"/>
      <c r="G20" s="6"/>
      <c r="H20" s="6"/>
      <c r="I20" s="6"/>
      <c r="J20" s="6"/>
      <c r="K20" s="2">
        <f>SUM(K12:K16)</f>
        <v>0</v>
      </c>
      <c r="L20" s="2">
        <f>SUM(L12:L16)</f>
        <v>0</v>
      </c>
    </row>
  </sheetData>
  <sheetProtection algorithmName="SHA-512" hashValue="bitOWYObBcoZiZf7dCxD4m6tNIhyODqk6ow4Cv/PEU57q0DFcnn9oqt3gQtl76NH0hv5Hmj1cBaYHcGDJtDrqg==" saltValue="KVNhGJpLj2AGg+7e6v1CmQ==" spinCount="100000" sheet="1" objects="1" scenarios="1"/>
  <mergeCells count="6">
    <mergeCell ref="J1:J2"/>
    <mergeCell ref="H2:I2"/>
    <mergeCell ref="A18:D18"/>
    <mergeCell ref="A19:D19"/>
    <mergeCell ref="A20:D20"/>
    <mergeCell ref="E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1"/>
  <sheetViews>
    <sheetView tabSelected="1" topLeftCell="C2" zoomScaleNormal="100" workbookViewId="0">
      <selection activeCell="Q22" sqref="Q22"/>
    </sheetView>
  </sheetViews>
  <sheetFormatPr defaultColWidth="8.73046875" defaultRowHeight="14.25" x14ac:dyDescent="0.45"/>
  <cols>
    <col min="1" max="1" width="18.3984375" style="14" customWidth="1"/>
    <col min="2" max="2" width="6.1328125" style="14" customWidth="1"/>
    <col min="3" max="3" width="14.86328125" style="14" customWidth="1"/>
    <col min="4" max="4" width="5.59765625" style="14" customWidth="1"/>
    <col min="5" max="5" width="4.73046875" style="14" customWidth="1"/>
    <col min="6" max="6" width="5.265625" style="14" customWidth="1"/>
    <col min="7" max="7" width="10.1328125" style="14" customWidth="1"/>
    <col min="8" max="8" width="5" style="14" customWidth="1"/>
    <col min="9" max="9" width="6.265625" style="14" customWidth="1"/>
    <col min="10" max="10" width="6.3984375" style="14" customWidth="1"/>
    <col min="11" max="12" width="8.1328125" style="14" customWidth="1"/>
    <col min="13" max="16384" width="8.73046875" style="14"/>
  </cols>
  <sheetData>
    <row r="1" spans="1:16" x14ac:dyDescent="0.45">
      <c r="A1" s="83" t="s">
        <v>126</v>
      </c>
      <c r="B1" s="83"/>
      <c r="C1" s="83"/>
      <c r="D1" s="83"/>
      <c r="E1" s="83"/>
      <c r="F1" s="83"/>
      <c r="G1" s="22"/>
      <c r="H1" s="22"/>
      <c r="I1" s="23"/>
      <c r="J1" s="22"/>
      <c r="K1" s="22"/>
      <c r="L1" s="22"/>
    </row>
    <row r="2" spans="1:16" x14ac:dyDescent="0.45">
      <c r="A2" s="23"/>
      <c r="B2" s="24"/>
      <c r="C2" s="25"/>
      <c r="D2" s="23"/>
      <c r="E2" s="23"/>
      <c r="F2" s="23"/>
      <c r="G2" s="22"/>
      <c r="H2" s="22"/>
      <c r="I2" s="23"/>
      <c r="J2" s="22"/>
      <c r="K2" s="106" t="s">
        <v>152</v>
      </c>
      <c r="L2" s="106"/>
    </row>
    <row r="3" spans="1:16" x14ac:dyDescent="0.45">
      <c r="A3" s="26" t="s">
        <v>127</v>
      </c>
      <c r="B3" s="106" t="s">
        <v>128</v>
      </c>
      <c r="C3" s="27" t="s">
        <v>129</v>
      </c>
      <c r="D3" s="27" t="s">
        <v>130</v>
      </c>
      <c r="E3" s="27" t="s">
        <v>131</v>
      </c>
      <c r="F3" s="27" t="s">
        <v>132</v>
      </c>
      <c r="G3" s="27" t="s">
        <v>133</v>
      </c>
      <c r="H3" s="27" t="s">
        <v>134</v>
      </c>
      <c r="I3" s="107" t="s">
        <v>135</v>
      </c>
      <c r="J3" s="108"/>
      <c r="K3" s="106"/>
      <c r="L3" s="106"/>
    </row>
    <row r="4" spans="1:16" ht="15.75" x14ac:dyDescent="0.45">
      <c r="A4" s="26" t="s">
        <v>136</v>
      </c>
      <c r="B4" s="106"/>
      <c r="C4" s="27" t="s">
        <v>137</v>
      </c>
      <c r="D4" s="28" t="s">
        <v>138</v>
      </c>
      <c r="E4" s="27" t="s">
        <v>139</v>
      </c>
      <c r="F4" s="27" t="s">
        <v>139</v>
      </c>
      <c r="G4" s="29" t="s">
        <v>140</v>
      </c>
      <c r="H4" s="27" t="s">
        <v>141</v>
      </c>
      <c r="I4" s="27" t="s">
        <v>142</v>
      </c>
      <c r="J4" s="27" t="s">
        <v>151</v>
      </c>
      <c r="K4" s="27" t="s">
        <v>142</v>
      </c>
      <c r="L4" s="27" t="s">
        <v>151</v>
      </c>
    </row>
    <row r="5" spans="1:16" x14ac:dyDescent="0.45">
      <c r="A5" s="30" t="s">
        <v>205</v>
      </c>
      <c r="B5" s="31"/>
      <c r="C5" s="32" t="s">
        <v>143</v>
      </c>
      <c r="D5" s="32"/>
      <c r="E5" s="32"/>
      <c r="F5" s="32"/>
      <c r="G5" s="32"/>
      <c r="H5" s="32"/>
      <c r="I5" s="32">
        <v>4.99</v>
      </c>
      <c r="J5" s="32"/>
      <c r="K5" s="33">
        <v>0.47</v>
      </c>
      <c r="L5" s="33"/>
    </row>
    <row r="6" spans="1:16" x14ac:dyDescent="0.45">
      <c r="A6" s="30" t="s">
        <v>205</v>
      </c>
      <c r="B6" s="31"/>
      <c r="C6" s="34" t="s">
        <v>144</v>
      </c>
      <c r="D6" s="32"/>
      <c r="E6" s="35"/>
      <c r="F6" s="32"/>
      <c r="G6" s="32"/>
      <c r="H6" s="32"/>
      <c r="I6" s="32">
        <v>4.99</v>
      </c>
      <c r="J6" s="32"/>
      <c r="K6" s="33">
        <v>3.4250000000000003</v>
      </c>
      <c r="L6" s="33"/>
    </row>
    <row r="7" spans="1:16" x14ac:dyDescent="0.45">
      <c r="A7" s="30" t="s">
        <v>195</v>
      </c>
      <c r="B7" s="36">
        <v>19.125</v>
      </c>
      <c r="C7" s="32" t="s">
        <v>145</v>
      </c>
      <c r="D7" s="33"/>
      <c r="E7" s="33"/>
      <c r="F7" s="33"/>
      <c r="G7" s="33"/>
      <c r="H7" s="33"/>
      <c r="I7" s="32">
        <v>3.99</v>
      </c>
      <c r="J7" s="32"/>
      <c r="K7" s="33">
        <v>5.6639999999999997</v>
      </c>
      <c r="L7" s="33"/>
    </row>
    <row r="8" spans="1:16" x14ac:dyDescent="0.45">
      <c r="A8" s="30" t="s">
        <v>193</v>
      </c>
      <c r="B8" s="36">
        <v>20.875</v>
      </c>
      <c r="C8" s="32" t="s">
        <v>146</v>
      </c>
      <c r="D8" s="33"/>
      <c r="E8" s="33"/>
      <c r="F8" s="33"/>
      <c r="G8" s="33"/>
      <c r="H8" s="33"/>
      <c r="I8" s="32">
        <v>4.4800000000000004</v>
      </c>
      <c r="J8" s="32"/>
      <c r="K8" s="33">
        <v>6.3629999999999995</v>
      </c>
      <c r="L8" s="33"/>
    </row>
    <row r="9" spans="1:16" x14ac:dyDescent="0.45">
      <c r="A9" s="30" t="s">
        <v>194</v>
      </c>
      <c r="B9" s="36">
        <v>17.125</v>
      </c>
      <c r="C9" s="32" t="s">
        <v>146</v>
      </c>
      <c r="D9" s="33"/>
      <c r="E9" s="33"/>
      <c r="F9" s="33"/>
      <c r="G9" s="33"/>
      <c r="H9" s="33"/>
      <c r="I9" s="32">
        <v>4.26</v>
      </c>
      <c r="J9" s="32"/>
      <c r="K9" s="33">
        <v>8.68</v>
      </c>
      <c r="L9" s="33"/>
    </row>
    <row r="10" spans="1:16" x14ac:dyDescent="0.45">
      <c r="A10" s="30" t="s">
        <v>193</v>
      </c>
      <c r="B10" s="36">
        <v>19.125</v>
      </c>
      <c r="C10" s="32" t="s">
        <v>145</v>
      </c>
      <c r="D10" s="33"/>
      <c r="E10" s="33"/>
      <c r="F10" s="33"/>
      <c r="G10" s="33"/>
      <c r="H10" s="33"/>
      <c r="I10" s="32">
        <v>3.69</v>
      </c>
      <c r="J10" s="32"/>
      <c r="K10" s="33">
        <v>8.6999999999999993</v>
      </c>
      <c r="L10" s="33"/>
    </row>
    <row r="11" spans="1:16" x14ac:dyDescent="0.45">
      <c r="A11" s="37" t="s">
        <v>196</v>
      </c>
      <c r="B11" s="36">
        <v>18.5</v>
      </c>
      <c r="C11" s="34" t="s">
        <v>147</v>
      </c>
      <c r="D11" s="38">
        <v>1.439729</v>
      </c>
      <c r="E11" s="39">
        <v>37.18</v>
      </c>
      <c r="F11" s="40">
        <v>140.5</v>
      </c>
      <c r="G11" s="40">
        <v>16</v>
      </c>
      <c r="H11" s="33">
        <v>0.5</v>
      </c>
      <c r="I11" s="32">
        <v>4.71</v>
      </c>
      <c r="J11" s="32">
        <v>4.12</v>
      </c>
      <c r="K11" s="33">
        <v>7.8</v>
      </c>
      <c r="L11" s="33">
        <v>7.6</v>
      </c>
    </row>
    <row r="12" spans="1:16" x14ac:dyDescent="0.45">
      <c r="A12" s="37" t="s">
        <v>196</v>
      </c>
      <c r="B12" s="36">
        <v>16.375</v>
      </c>
      <c r="C12" s="34" t="s">
        <v>147</v>
      </c>
      <c r="D12" s="38">
        <v>2.8550779999999998</v>
      </c>
      <c r="E12" s="39">
        <v>9.7330000000000005</v>
      </c>
      <c r="F12" s="39">
        <v>116.2</v>
      </c>
      <c r="G12" s="40">
        <v>13.5</v>
      </c>
      <c r="H12" s="33">
        <v>0.4</v>
      </c>
      <c r="I12" s="32">
        <v>4.7300000000000004</v>
      </c>
      <c r="J12" s="32">
        <v>4.13</v>
      </c>
      <c r="K12" s="33">
        <v>7.9</v>
      </c>
      <c r="L12" s="33">
        <v>8.6</v>
      </c>
    </row>
    <row r="13" spans="1:16" x14ac:dyDescent="0.45">
      <c r="A13" s="37" t="s">
        <v>196</v>
      </c>
      <c r="B13" s="36">
        <v>8.375</v>
      </c>
      <c r="C13" s="34" t="s">
        <v>147</v>
      </c>
      <c r="D13" s="38">
        <v>1.4592039999999999</v>
      </c>
      <c r="E13" s="39">
        <v>99.28</v>
      </c>
      <c r="F13" s="39">
        <v>158.5</v>
      </c>
      <c r="G13" s="40">
        <v>2.4</v>
      </c>
      <c r="H13" s="33">
        <v>0.5</v>
      </c>
      <c r="I13" s="41">
        <v>5.0449999999999999</v>
      </c>
      <c r="J13" s="32">
        <v>4.47</v>
      </c>
      <c r="K13" s="33">
        <v>8.9</v>
      </c>
      <c r="L13" s="33">
        <v>10.3</v>
      </c>
    </row>
    <row r="14" spans="1:16" x14ac:dyDescent="0.45">
      <c r="A14" s="37" t="s">
        <v>196</v>
      </c>
      <c r="B14" s="36">
        <v>13.625</v>
      </c>
      <c r="C14" s="34" t="s">
        <v>147</v>
      </c>
      <c r="D14" s="38"/>
      <c r="E14" s="39">
        <v>21.57</v>
      </c>
      <c r="F14" s="40">
        <v>129.9</v>
      </c>
      <c r="G14" s="40">
        <v>11.9</v>
      </c>
      <c r="H14" s="33">
        <v>0.5</v>
      </c>
      <c r="I14" s="32">
        <v>4.51</v>
      </c>
      <c r="J14" s="32">
        <v>3.97</v>
      </c>
      <c r="K14" s="33">
        <v>9.7999999999999989</v>
      </c>
      <c r="L14" s="33">
        <v>8.8000000000000007</v>
      </c>
    </row>
    <row r="15" spans="1:16" x14ac:dyDescent="0.45">
      <c r="A15" s="37" t="s">
        <v>196</v>
      </c>
      <c r="B15" s="36">
        <v>12.5</v>
      </c>
      <c r="C15" s="34" t="s">
        <v>148</v>
      </c>
      <c r="D15" s="38"/>
      <c r="E15" s="39">
        <v>4.3810000000000002</v>
      </c>
      <c r="F15" s="39">
        <v>80.900000000000006</v>
      </c>
      <c r="G15" s="40">
        <v>13.4</v>
      </c>
      <c r="H15" s="33">
        <v>0.6</v>
      </c>
      <c r="I15" s="34">
        <v>4.51</v>
      </c>
      <c r="J15" s="32">
        <v>4.01</v>
      </c>
      <c r="K15" s="33">
        <v>17.5</v>
      </c>
      <c r="L15" s="33">
        <v>12</v>
      </c>
    </row>
    <row r="16" spans="1:16" x14ac:dyDescent="0.45">
      <c r="A16" s="30" t="s">
        <v>197</v>
      </c>
      <c r="B16" s="31">
        <v>19</v>
      </c>
      <c r="C16" s="32"/>
      <c r="D16" s="33">
        <v>3.4329999999999998</v>
      </c>
      <c r="E16" s="40">
        <v>13.6</v>
      </c>
      <c r="F16" s="40"/>
      <c r="G16" s="40"/>
      <c r="H16" s="33"/>
      <c r="I16" s="32">
        <v>5.43</v>
      </c>
      <c r="J16" s="32">
        <v>4.5599999999999996</v>
      </c>
      <c r="K16" s="33">
        <v>2.6</v>
      </c>
      <c r="L16" s="33">
        <v>2.8</v>
      </c>
      <c r="O16" s="44"/>
      <c r="P16" s="43"/>
    </row>
    <row r="17" spans="1:16" x14ac:dyDescent="0.45">
      <c r="A17" s="30" t="s">
        <v>198</v>
      </c>
      <c r="B17" s="36">
        <v>46.5</v>
      </c>
      <c r="C17" s="32"/>
      <c r="D17" s="33">
        <v>1.5875814180000001</v>
      </c>
      <c r="E17" s="40">
        <v>168.328</v>
      </c>
      <c r="F17" s="40">
        <v>262.786</v>
      </c>
      <c r="G17" s="40">
        <v>3.8</v>
      </c>
      <c r="H17" s="33">
        <v>0.3</v>
      </c>
      <c r="I17" s="32">
        <v>4.88</v>
      </c>
      <c r="J17" s="32"/>
      <c r="K17" s="33">
        <v>2.98</v>
      </c>
      <c r="L17" s="33"/>
      <c r="O17" s="44"/>
      <c r="P17" s="43"/>
    </row>
    <row r="18" spans="1:16" x14ac:dyDescent="0.45">
      <c r="A18" s="30" t="s">
        <v>199</v>
      </c>
      <c r="B18" s="36">
        <v>44</v>
      </c>
      <c r="C18" s="32"/>
      <c r="D18" s="33">
        <v>0</v>
      </c>
      <c r="E18" s="40">
        <v>137.154</v>
      </c>
      <c r="F18" s="40">
        <v>203.43600000000001</v>
      </c>
      <c r="G18" s="40">
        <v>5.5</v>
      </c>
      <c r="H18" s="33">
        <v>0.3</v>
      </c>
      <c r="I18" s="32">
        <v>5.17</v>
      </c>
      <c r="J18" s="32"/>
      <c r="K18" s="33">
        <v>2.73</v>
      </c>
      <c r="L18" s="33"/>
      <c r="O18" s="44"/>
      <c r="P18" s="43"/>
    </row>
    <row r="19" spans="1:16" x14ac:dyDescent="0.45">
      <c r="A19" s="30" t="s">
        <v>198</v>
      </c>
      <c r="B19" s="36">
        <v>23.208333333333336</v>
      </c>
      <c r="C19" s="32"/>
      <c r="D19" s="33">
        <v>0</v>
      </c>
      <c r="E19" s="40">
        <v>171.96199999999999</v>
      </c>
      <c r="F19" s="40">
        <v>320.024</v>
      </c>
      <c r="G19" s="40">
        <v>2.6</v>
      </c>
      <c r="H19" s="33">
        <v>0.3</v>
      </c>
      <c r="I19" s="32">
        <v>4.87</v>
      </c>
      <c r="J19" s="32"/>
      <c r="K19" s="33">
        <v>2.7</v>
      </c>
      <c r="L19" s="33"/>
      <c r="O19" s="44"/>
      <c r="P19" s="43"/>
    </row>
    <row r="20" spans="1:16" x14ac:dyDescent="0.45">
      <c r="A20" s="30" t="s">
        <v>197</v>
      </c>
      <c r="B20" s="31">
        <v>35</v>
      </c>
      <c r="C20" s="32"/>
      <c r="D20" s="33">
        <v>2.84</v>
      </c>
      <c r="E20" s="40">
        <v>33</v>
      </c>
      <c r="F20" s="40"/>
      <c r="G20" s="40"/>
      <c r="H20" s="33"/>
      <c r="I20" s="32">
        <v>4.59</v>
      </c>
      <c r="J20" s="32">
        <v>4.2699999999999996</v>
      </c>
      <c r="K20" s="33">
        <v>3.157</v>
      </c>
      <c r="L20" s="33">
        <v>3.9</v>
      </c>
      <c r="O20" s="44"/>
      <c r="P20" s="43"/>
    </row>
    <row r="21" spans="1:16" x14ac:dyDescent="0.45">
      <c r="A21" s="30" t="s">
        <v>199</v>
      </c>
      <c r="B21" s="36">
        <v>32.75</v>
      </c>
      <c r="C21" s="32"/>
      <c r="D21" s="33">
        <v>2.8793183029999998</v>
      </c>
      <c r="E21" s="40">
        <v>157.78700000000001</v>
      </c>
      <c r="F21" s="40">
        <v>275.79700000000003</v>
      </c>
      <c r="G21" s="40">
        <v>6.2</v>
      </c>
      <c r="H21" s="33">
        <v>0.3</v>
      </c>
      <c r="I21" s="32">
        <v>3.98</v>
      </c>
      <c r="J21" s="32"/>
      <c r="K21" s="33">
        <v>3.06</v>
      </c>
      <c r="L21" s="33"/>
      <c r="O21" s="44"/>
      <c r="P21" s="43"/>
    </row>
    <row r="22" spans="1:16" x14ac:dyDescent="0.45">
      <c r="A22" s="30" t="s">
        <v>199</v>
      </c>
      <c r="B22" s="36">
        <v>42.25</v>
      </c>
      <c r="C22" s="32"/>
      <c r="D22" s="33">
        <v>1.6913870360000001</v>
      </c>
      <c r="E22" s="40">
        <v>160.70400000000001</v>
      </c>
      <c r="F22" s="40">
        <v>251.43799999999999</v>
      </c>
      <c r="G22" s="40">
        <v>11.2</v>
      </c>
      <c r="H22" s="33">
        <v>0.4</v>
      </c>
      <c r="I22" s="32">
        <v>4.51</v>
      </c>
      <c r="J22" s="32"/>
      <c r="K22" s="33">
        <v>4.16</v>
      </c>
      <c r="L22" s="33"/>
      <c r="O22" s="44"/>
      <c r="P22" s="43"/>
    </row>
    <row r="23" spans="1:16" x14ac:dyDescent="0.45">
      <c r="A23" s="30" t="s">
        <v>198</v>
      </c>
      <c r="B23" s="36">
        <v>34.5</v>
      </c>
      <c r="C23" s="32"/>
      <c r="D23" s="33">
        <v>2.1497883749999995</v>
      </c>
      <c r="E23" s="40">
        <v>174.315</v>
      </c>
      <c r="F23" s="40">
        <v>282.20999999999998</v>
      </c>
      <c r="G23" s="40">
        <v>6.2</v>
      </c>
      <c r="H23" s="33">
        <v>0.4</v>
      </c>
      <c r="I23" s="32">
        <v>4.09</v>
      </c>
      <c r="J23" s="32"/>
      <c r="K23" s="33">
        <v>6.48</v>
      </c>
      <c r="L23" s="33"/>
      <c r="O23" s="44"/>
      <c r="P23" s="43"/>
    </row>
    <row r="24" spans="1:16" x14ac:dyDescent="0.45">
      <c r="A24" s="30" t="s">
        <v>198</v>
      </c>
      <c r="B24" s="36">
        <v>33</v>
      </c>
      <c r="C24" s="32"/>
      <c r="D24" s="33">
        <v>2.2100478110000008</v>
      </c>
      <c r="E24" s="40">
        <v>146.53100000000001</v>
      </c>
      <c r="F24" s="40">
        <v>266.84500000000003</v>
      </c>
      <c r="G24" s="40">
        <v>3.2</v>
      </c>
      <c r="H24" s="33">
        <v>0.3</v>
      </c>
      <c r="I24" s="32">
        <v>4.59</v>
      </c>
      <c r="J24" s="32"/>
      <c r="K24" s="33">
        <v>7.26</v>
      </c>
      <c r="L24" s="33"/>
      <c r="O24" s="44"/>
      <c r="P24" s="43"/>
    </row>
    <row r="25" spans="1:16" x14ac:dyDescent="0.45">
      <c r="A25" s="30" t="s">
        <v>198</v>
      </c>
      <c r="B25" s="36">
        <v>24.5</v>
      </c>
      <c r="C25" s="32"/>
      <c r="D25" s="33">
        <v>1.0045354660000001</v>
      </c>
      <c r="E25" s="40">
        <v>196.035</v>
      </c>
      <c r="F25" s="40">
        <v>360.77800000000002</v>
      </c>
      <c r="G25" s="40">
        <v>3.3</v>
      </c>
      <c r="H25" s="33">
        <v>0.6</v>
      </c>
      <c r="I25" s="32">
        <v>4.7300000000000004</v>
      </c>
      <c r="J25" s="32"/>
      <c r="K25" s="33">
        <v>7.07</v>
      </c>
      <c r="L25" s="33"/>
      <c r="O25" s="44"/>
      <c r="P25" s="43"/>
    </row>
    <row r="26" spans="1:16" x14ac:dyDescent="0.45">
      <c r="A26" s="30" t="s">
        <v>200</v>
      </c>
      <c r="B26" s="36">
        <v>18.166499999999999</v>
      </c>
      <c r="C26" s="33"/>
      <c r="D26" s="33">
        <v>31.129091900000002</v>
      </c>
      <c r="E26" s="40">
        <v>0.273706</v>
      </c>
      <c r="F26" s="40">
        <v>4.4549000000000003</v>
      </c>
      <c r="G26" s="40">
        <v>5.9</v>
      </c>
      <c r="H26" s="33">
        <v>0.9</v>
      </c>
      <c r="I26" s="32">
        <v>4.97</v>
      </c>
      <c r="J26" s="32"/>
      <c r="K26" s="33">
        <v>7.83</v>
      </c>
      <c r="L26" s="33"/>
      <c r="O26" s="44"/>
      <c r="P26" s="43"/>
    </row>
    <row r="27" spans="1:16" x14ac:dyDescent="0.45">
      <c r="A27" s="30" t="s">
        <v>201</v>
      </c>
      <c r="B27" s="36">
        <v>22.5</v>
      </c>
      <c r="C27" s="33"/>
      <c r="D27" s="33">
        <v>0.8426392788349002</v>
      </c>
      <c r="E27" s="40">
        <v>98.025899999999993</v>
      </c>
      <c r="F27" s="40">
        <v>243.1</v>
      </c>
      <c r="G27" s="40">
        <v>3.2</v>
      </c>
      <c r="H27" s="33">
        <v>0.5</v>
      </c>
      <c r="I27" s="32">
        <v>5.12</v>
      </c>
      <c r="J27" s="32"/>
      <c r="K27" s="33">
        <v>7.73</v>
      </c>
      <c r="L27" s="33"/>
      <c r="O27" s="44"/>
      <c r="P27" s="43"/>
    </row>
    <row r="28" spans="1:16" x14ac:dyDescent="0.45">
      <c r="A28" s="30" t="s">
        <v>201</v>
      </c>
      <c r="B28" s="36">
        <v>18.5</v>
      </c>
      <c r="C28" s="33"/>
      <c r="D28" s="33">
        <v>2.7702542459999999</v>
      </c>
      <c r="E28" s="40">
        <v>68.6922</v>
      </c>
      <c r="F28" s="40">
        <v>308.00900000000001</v>
      </c>
      <c r="G28" s="40">
        <v>8.6</v>
      </c>
      <c r="H28" s="33">
        <v>0.9</v>
      </c>
      <c r="I28" s="32">
        <v>5.3</v>
      </c>
      <c r="J28" s="32"/>
      <c r="K28" s="33">
        <v>9.907</v>
      </c>
      <c r="L28" s="33"/>
      <c r="O28" s="44"/>
      <c r="P28" s="43"/>
    </row>
    <row r="29" spans="1:16" x14ac:dyDescent="0.45">
      <c r="A29" s="30" t="s">
        <v>201</v>
      </c>
      <c r="B29" s="36">
        <v>32.208333333333336</v>
      </c>
      <c r="C29" s="33"/>
      <c r="D29" s="33">
        <v>1.8155599849999999</v>
      </c>
      <c r="E29" s="40">
        <v>84.445300000000003</v>
      </c>
      <c r="F29" s="40">
        <v>209.99</v>
      </c>
      <c r="G29" s="40">
        <v>9.5</v>
      </c>
      <c r="H29" s="33">
        <v>0.4</v>
      </c>
      <c r="I29" s="32">
        <v>5.52</v>
      </c>
      <c r="J29" s="32"/>
      <c r="K29" s="33">
        <v>8.48</v>
      </c>
      <c r="L29" s="33"/>
      <c r="O29" s="44"/>
      <c r="P29" s="43"/>
    </row>
    <row r="30" spans="1:16" x14ac:dyDescent="0.45">
      <c r="A30" s="30" t="s">
        <v>201</v>
      </c>
      <c r="B30" s="36">
        <v>24</v>
      </c>
      <c r="C30" s="33"/>
      <c r="D30" s="33">
        <v>0.82584277609999979</v>
      </c>
      <c r="E30" s="40">
        <v>121.44799999999999</v>
      </c>
      <c r="F30" s="40">
        <v>255.99799999999999</v>
      </c>
      <c r="G30" s="40">
        <v>3.2</v>
      </c>
      <c r="H30" s="33">
        <v>0.5</v>
      </c>
      <c r="I30" s="32">
        <v>5.21</v>
      </c>
      <c r="J30" s="32"/>
      <c r="K30" s="33">
        <v>8.42</v>
      </c>
      <c r="L30" s="33"/>
      <c r="O30" s="44"/>
      <c r="P30" s="43"/>
    </row>
    <row r="31" spans="1:16" x14ac:dyDescent="0.45">
      <c r="A31" s="30" t="s">
        <v>202</v>
      </c>
      <c r="B31" s="36">
        <v>32.791666666666664</v>
      </c>
      <c r="C31" s="33"/>
      <c r="D31" s="33">
        <v>1.1865034027999999</v>
      </c>
      <c r="E31" s="40">
        <v>103.949</v>
      </c>
      <c r="F31" s="40">
        <v>195.13800000000001</v>
      </c>
      <c r="G31" s="40">
        <v>9.6</v>
      </c>
      <c r="H31" s="33">
        <v>0.6</v>
      </c>
      <c r="I31" s="32">
        <v>5.56</v>
      </c>
      <c r="J31" s="32"/>
      <c r="K31" s="33">
        <v>12.5</v>
      </c>
      <c r="L31" s="33"/>
      <c r="O31" s="44"/>
      <c r="P31" s="43"/>
    </row>
    <row r="32" spans="1:16" x14ac:dyDescent="0.45">
      <c r="A32" s="30" t="s">
        <v>202</v>
      </c>
      <c r="B32" s="36">
        <v>23.5</v>
      </c>
      <c r="C32" s="32"/>
      <c r="D32" s="33">
        <v>1.17746448</v>
      </c>
      <c r="E32" s="40">
        <v>90.026600000000002</v>
      </c>
      <c r="F32" s="40">
        <v>256.34800000000001</v>
      </c>
      <c r="G32" s="40">
        <v>3.6</v>
      </c>
      <c r="H32" s="33">
        <v>0.6</v>
      </c>
      <c r="I32" s="32">
        <v>5.21</v>
      </c>
      <c r="J32" s="32"/>
      <c r="K32" s="33">
        <v>37.200000000000003</v>
      </c>
      <c r="L32" s="33"/>
      <c r="O32" s="44"/>
      <c r="P32" s="43"/>
    </row>
    <row r="33" spans="1:16" x14ac:dyDescent="0.45">
      <c r="A33" s="30" t="s">
        <v>200</v>
      </c>
      <c r="B33" s="36">
        <v>34</v>
      </c>
      <c r="C33" s="32"/>
      <c r="D33" s="33">
        <v>1.13235580256218</v>
      </c>
      <c r="E33" s="40">
        <v>91.233999999999995</v>
      </c>
      <c r="F33" s="40">
        <v>165.91</v>
      </c>
      <c r="G33" s="40">
        <v>10.5</v>
      </c>
      <c r="H33" s="33">
        <v>0.6</v>
      </c>
      <c r="I33" s="32">
        <v>5.67</v>
      </c>
      <c r="J33" s="32"/>
      <c r="K33" s="33">
        <v>10.46</v>
      </c>
      <c r="L33" s="33"/>
      <c r="O33" s="44"/>
      <c r="P33" s="43"/>
    </row>
    <row r="34" spans="1:16" x14ac:dyDescent="0.45">
      <c r="A34" s="30" t="s">
        <v>200</v>
      </c>
      <c r="B34" s="36">
        <v>23</v>
      </c>
      <c r="C34" s="33"/>
      <c r="D34" s="33">
        <v>1.6366998229999998</v>
      </c>
      <c r="E34" s="40">
        <v>83.567599999999999</v>
      </c>
      <c r="F34" s="40">
        <v>243.30600000000001</v>
      </c>
      <c r="G34" s="40">
        <v>3.5</v>
      </c>
      <c r="H34" s="33">
        <v>0.5</v>
      </c>
      <c r="I34" s="32">
        <v>5.38</v>
      </c>
      <c r="J34" s="32"/>
      <c r="K34" s="33">
        <v>10.536</v>
      </c>
      <c r="L34" s="33"/>
      <c r="O34" s="44"/>
      <c r="P34" s="43"/>
    </row>
    <row r="35" spans="1:16" x14ac:dyDescent="0.45">
      <c r="A35" s="30" t="s">
        <v>203</v>
      </c>
      <c r="B35" s="36">
        <v>35</v>
      </c>
      <c r="C35" s="32"/>
      <c r="D35" s="33">
        <v>2.496</v>
      </c>
      <c r="E35" s="40">
        <v>22.6</v>
      </c>
      <c r="F35" s="40"/>
      <c r="G35" s="40"/>
      <c r="H35" s="33"/>
      <c r="I35" s="32">
        <v>5.96</v>
      </c>
      <c r="J35" s="32">
        <v>5.23</v>
      </c>
      <c r="K35" s="33">
        <v>12.5</v>
      </c>
      <c r="L35" s="33">
        <v>18.700000000000003</v>
      </c>
      <c r="O35" s="44"/>
      <c r="P35" s="43"/>
    </row>
    <row r="36" spans="1:16" x14ac:dyDescent="0.45">
      <c r="A36" s="30" t="s">
        <v>204</v>
      </c>
      <c r="B36" s="36">
        <v>38</v>
      </c>
      <c r="C36" s="32"/>
      <c r="D36" s="33">
        <v>3.589</v>
      </c>
      <c r="E36" s="40">
        <v>6.6</v>
      </c>
      <c r="F36" s="40"/>
      <c r="G36" s="40"/>
      <c r="H36" s="33"/>
      <c r="I36" s="32">
        <v>5.99</v>
      </c>
      <c r="J36" s="32">
        <v>5.87</v>
      </c>
      <c r="K36" s="33">
        <v>37.199999999999996</v>
      </c>
      <c r="L36" s="33">
        <v>47.300000000000004</v>
      </c>
      <c r="O36" s="44"/>
      <c r="P36" s="43"/>
    </row>
    <row r="37" spans="1:16" x14ac:dyDescent="0.45">
      <c r="A37" s="30" t="s">
        <v>212</v>
      </c>
      <c r="B37" s="36"/>
      <c r="C37" s="32" t="s">
        <v>149</v>
      </c>
      <c r="D37" s="33">
        <v>11.59</v>
      </c>
      <c r="E37" s="40">
        <v>1.6</v>
      </c>
      <c r="F37" s="40"/>
      <c r="G37" s="40">
        <v>4.4000000000000004</v>
      </c>
      <c r="H37" s="33"/>
      <c r="I37" s="32">
        <v>4.7</v>
      </c>
      <c r="J37" s="32">
        <v>3.96</v>
      </c>
      <c r="K37" s="33">
        <v>8.1</v>
      </c>
      <c r="L37" s="33">
        <v>10</v>
      </c>
    </row>
    <row r="38" spans="1:16" x14ac:dyDescent="0.45">
      <c r="A38" s="30" t="s">
        <v>206</v>
      </c>
      <c r="B38" s="36">
        <v>5</v>
      </c>
      <c r="C38" s="32" t="s">
        <v>149</v>
      </c>
      <c r="D38" s="33"/>
      <c r="E38" s="33"/>
      <c r="F38" s="33"/>
      <c r="G38" s="40"/>
      <c r="H38" s="33"/>
      <c r="I38" s="32">
        <v>5.4350000000000005</v>
      </c>
      <c r="J38" s="32"/>
      <c r="K38" s="33">
        <v>10.3756</v>
      </c>
      <c r="L38" s="33"/>
    </row>
    <row r="39" spans="1:16" x14ac:dyDescent="0.45">
      <c r="A39" s="30" t="s">
        <v>207</v>
      </c>
      <c r="B39" s="36"/>
      <c r="C39" s="32" t="s">
        <v>149</v>
      </c>
      <c r="D39" s="33">
        <v>10.233000000000001</v>
      </c>
      <c r="E39" s="40">
        <v>1.9</v>
      </c>
      <c r="F39" s="33"/>
      <c r="G39" s="33"/>
      <c r="H39" s="33"/>
      <c r="I39" s="32">
        <v>4.13</v>
      </c>
      <c r="J39" s="32">
        <v>3.79</v>
      </c>
      <c r="K39" s="33">
        <v>13.799999999999999</v>
      </c>
      <c r="L39" s="33">
        <v>16.7</v>
      </c>
    </row>
    <row r="40" spans="1:16" x14ac:dyDescent="0.45">
      <c r="A40" s="30" t="s">
        <v>208</v>
      </c>
      <c r="B40" s="36"/>
      <c r="C40" s="32" t="s">
        <v>149</v>
      </c>
      <c r="D40" s="33">
        <v>8.0719999999999992</v>
      </c>
      <c r="E40" s="40">
        <v>2.8</v>
      </c>
      <c r="F40" s="33"/>
      <c r="G40" s="33"/>
      <c r="H40" s="33"/>
      <c r="I40" s="32">
        <v>4.1900000000000004</v>
      </c>
      <c r="J40" s="32">
        <v>3.62</v>
      </c>
      <c r="K40" s="33">
        <v>14</v>
      </c>
      <c r="L40" s="33">
        <v>18.399999999999999</v>
      </c>
    </row>
    <row r="41" spans="1:16" x14ac:dyDescent="0.45">
      <c r="A41" s="30" t="s">
        <v>209</v>
      </c>
      <c r="B41" s="36">
        <v>11</v>
      </c>
      <c r="C41" s="32" t="s">
        <v>149</v>
      </c>
      <c r="D41" s="33"/>
      <c r="E41" s="40"/>
      <c r="F41" s="33"/>
      <c r="G41" s="33"/>
      <c r="H41" s="33"/>
      <c r="I41" s="32">
        <v>4.55</v>
      </c>
      <c r="J41" s="32"/>
      <c r="K41" s="33">
        <v>14.468399999999999</v>
      </c>
      <c r="L41" s="33"/>
    </row>
    <row r="42" spans="1:16" x14ac:dyDescent="0.45">
      <c r="A42" s="30" t="s">
        <v>206</v>
      </c>
      <c r="B42" s="36">
        <v>9</v>
      </c>
      <c r="C42" s="32" t="s">
        <v>149</v>
      </c>
      <c r="D42" s="33"/>
      <c r="E42" s="40"/>
      <c r="F42" s="33"/>
      <c r="G42" s="33"/>
      <c r="H42" s="33"/>
      <c r="I42" s="32">
        <v>5.36</v>
      </c>
      <c r="J42" s="32"/>
      <c r="K42" s="33">
        <v>14.57803</v>
      </c>
      <c r="L42" s="33"/>
    </row>
    <row r="43" spans="1:16" x14ac:dyDescent="0.45">
      <c r="A43" s="30" t="s">
        <v>206</v>
      </c>
      <c r="B43" s="36">
        <v>11</v>
      </c>
      <c r="C43" s="32" t="s">
        <v>149</v>
      </c>
      <c r="D43" s="33"/>
      <c r="E43" s="40"/>
      <c r="F43" s="33"/>
      <c r="G43" s="33"/>
      <c r="H43" s="33"/>
      <c r="I43" s="32">
        <v>5.51</v>
      </c>
      <c r="J43" s="32"/>
      <c r="K43" s="33">
        <v>16.28783</v>
      </c>
      <c r="L43" s="33"/>
    </row>
    <row r="44" spans="1:16" x14ac:dyDescent="0.45">
      <c r="A44" s="30" t="s">
        <v>206</v>
      </c>
      <c r="B44" s="36">
        <v>7</v>
      </c>
      <c r="C44" s="32" t="s">
        <v>149</v>
      </c>
      <c r="D44" s="33"/>
      <c r="E44" s="40"/>
      <c r="F44" s="33"/>
      <c r="G44" s="33"/>
      <c r="H44" s="33"/>
      <c r="I44" s="42">
        <v>5.3100000000000005</v>
      </c>
      <c r="J44" s="32"/>
      <c r="K44" s="33">
        <v>17.024760000000001</v>
      </c>
      <c r="L44" s="33"/>
    </row>
    <row r="45" spans="1:16" x14ac:dyDescent="0.45">
      <c r="A45" s="30" t="s">
        <v>210</v>
      </c>
      <c r="B45" s="36"/>
      <c r="C45" s="32" t="s">
        <v>149</v>
      </c>
      <c r="D45" s="33">
        <v>5.7610000000000001</v>
      </c>
      <c r="E45" s="40">
        <v>4.7</v>
      </c>
      <c r="F45" s="33"/>
      <c r="G45" s="33"/>
      <c r="H45" s="33"/>
      <c r="I45" s="32">
        <v>4.0599999999999996</v>
      </c>
      <c r="J45" s="32">
        <v>3.75</v>
      </c>
      <c r="K45" s="33">
        <v>18.5</v>
      </c>
      <c r="L45" s="33">
        <v>20.299999999999997</v>
      </c>
    </row>
    <row r="46" spans="1:16" x14ac:dyDescent="0.45">
      <c r="A46" s="30" t="s">
        <v>211</v>
      </c>
      <c r="B46" s="36"/>
      <c r="C46" s="32" t="s">
        <v>149</v>
      </c>
      <c r="D46" s="33">
        <v>11.859</v>
      </c>
      <c r="E46" s="40">
        <v>1.6</v>
      </c>
      <c r="F46" s="33"/>
      <c r="G46" s="33"/>
      <c r="H46" s="33"/>
      <c r="I46" s="32">
        <v>4.1500000000000004</v>
      </c>
      <c r="J46" s="32">
        <v>3.59</v>
      </c>
      <c r="K46" s="33">
        <v>37.299999999999997</v>
      </c>
      <c r="L46" s="33">
        <v>37.5</v>
      </c>
    </row>
    <row r="47" spans="1:16" x14ac:dyDescent="0.45">
      <c r="A47" s="30" t="s">
        <v>209</v>
      </c>
      <c r="B47" s="36">
        <v>9</v>
      </c>
      <c r="C47" s="32" t="s">
        <v>149</v>
      </c>
      <c r="D47" s="33"/>
      <c r="E47" s="33"/>
      <c r="F47" s="33"/>
      <c r="G47" s="33"/>
      <c r="H47" s="33"/>
      <c r="I47" s="32">
        <v>4.3</v>
      </c>
      <c r="J47" s="32"/>
      <c r="K47" s="33">
        <v>41.149619999999999</v>
      </c>
      <c r="L47" s="33"/>
    </row>
    <row r="48" spans="1:16" x14ac:dyDescent="0.45">
      <c r="A48" s="30" t="s">
        <v>209</v>
      </c>
      <c r="B48" s="36">
        <v>7</v>
      </c>
      <c r="C48" s="32" t="s">
        <v>149</v>
      </c>
      <c r="D48" s="33"/>
      <c r="E48" s="33"/>
      <c r="F48" s="33"/>
      <c r="G48" s="33"/>
      <c r="H48" s="33"/>
      <c r="I48" s="32">
        <v>4.2050000000000001</v>
      </c>
      <c r="J48" s="32"/>
      <c r="K48" s="33">
        <v>41.46367</v>
      </c>
      <c r="L48" s="33"/>
    </row>
    <row r="49" spans="1:12" x14ac:dyDescent="0.45">
      <c r="A49" s="30" t="s">
        <v>206</v>
      </c>
      <c r="B49" s="36">
        <v>19</v>
      </c>
      <c r="C49" s="32" t="s">
        <v>150</v>
      </c>
      <c r="D49" s="33"/>
      <c r="E49" s="33"/>
      <c r="F49" s="33"/>
      <c r="G49" s="33"/>
      <c r="H49" s="33"/>
      <c r="I49" s="32">
        <v>6.875</v>
      </c>
      <c r="J49" s="32"/>
      <c r="K49" s="33">
        <v>1.8771800000000001</v>
      </c>
      <c r="L49" s="33"/>
    </row>
    <row r="50" spans="1:12" x14ac:dyDescent="0.45">
      <c r="A50" s="30" t="s">
        <v>209</v>
      </c>
      <c r="B50" s="36">
        <v>17</v>
      </c>
      <c r="C50" s="32" t="s">
        <v>150</v>
      </c>
      <c r="D50" s="33"/>
      <c r="E50" s="33"/>
      <c r="F50" s="33"/>
      <c r="G50" s="33"/>
      <c r="H50" s="33"/>
      <c r="I50" s="32">
        <v>5.5149999999999997</v>
      </c>
      <c r="J50" s="32"/>
      <c r="K50" s="33">
        <v>2.4206099999999999</v>
      </c>
      <c r="L50" s="33"/>
    </row>
    <row r="51" spans="1:12" x14ac:dyDescent="0.45">
      <c r="A51" s="30" t="s">
        <v>209</v>
      </c>
      <c r="B51" s="36">
        <v>21</v>
      </c>
      <c r="C51" s="32" t="s">
        <v>150</v>
      </c>
      <c r="D51" s="33"/>
      <c r="E51" s="33"/>
      <c r="F51" s="33"/>
      <c r="G51" s="33"/>
      <c r="H51" s="33"/>
      <c r="I51" s="32">
        <v>6.875</v>
      </c>
      <c r="J51" s="32"/>
      <c r="K51" s="33">
        <v>2.42177</v>
      </c>
      <c r="L51" s="33"/>
    </row>
    <row r="52" spans="1:12" x14ac:dyDescent="0.45">
      <c r="A52" s="30" t="s">
        <v>206</v>
      </c>
      <c r="B52" s="36">
        <v>17</v>
      </c>
      <c r="C52" s="32" t="s">
        <v>150</v>
      </c>
      <c r="D52" s="33"/>
      <c r="E52" s="33"/>
      <c r="F52" s="33"/>
      <c r="G52" s="33"/>
      <c r="H52" s="33"/>
      <c r="I52" s="32">
        <v>6.3550000000000004</v>
      </c>
      <c r="J52" s="32"/>
      <c r="K52" s="33">
        <v>2.6152699999999998</v>
      </c>
      <c r="L52" s="33"/>
    </row>
    <row r="53" spans="1:12" x14ac:dyDescent="0.45">
      <c r="A53" s="30" t="s">
        <v>209</v>
      </c>
      <c r="B53" s="36">
        <v>19</v>
      </c>
      <c r="C53" s="32" t="s">
        <v>150</v>
      </c>
      <c r="D53" s="33"/>
      <c r="E53" s="33"/>
      <c r="F53" s="33"/>
      <c r="G53" s="33"/>
      <c r="H53" s="33"/>
      <c r="I53" s="32">
        <v>6.8449999999999998</v>
      </c>
      <c r="J53" s="32"/>
      <c r="K53" s="33">
        <v>2.7057899999999999</v>
      </c>
      <c r="L53" s="33"/>
    </row>
    <row r="54" spans="1:12" x14ac:dyDescent="0.45">
      <c r="B54" s="18"/>
      <c r="C54" s="20"/>
      <c r="D54" s="17"/>
      <c r="E54" s="15"/>
      <c r="F54" s="16"/>
      <c r="I54" s="15"/>
    </row>
    <row r="55" spans="1:12" x14ac:dyDescent="0.45">
      <c r="A55" s="16"/>
      <c r="B55" s="19"/>
      <c r="C55" s="16"/>
      <c r="D55" s="15"/>
      <c r="E55" s="15"/>
      <c r="F55" s="16"/>
      <c r="I55" s="15"/>
    </row>
    <row r="56" spans="1:12" x14ac:dyDescent="0.45">
      <c r="A56" s="16"/>
      <c r="B56" s="19"/>
      <c r="C56" s="16"/>
      <c r="D56" s="15"/>
      <c r="E56" s="15"/>
      <c r="F56" s="16"/>
      <c r="I56" s="15"/>
    </row>
    <row r="57" spans="1:12" x14ac:dyDescent="0.45">
      <c r="A57" s="16"/>
      <c r="B57" s="19"/>
      <c r="C57" s="16"/>
      <c r="D57" s="15"/>
      <c r="E57" s="15"/>
      <c r="F57" s="16"/>
      <c r="I57" s="15"/>
    </row>
    <row r="58" spans="1:12" x14ac:dyDescent="0.45">
      <c r="A58" s="16"/>
      <c r="B58" s="19"/>
      <c r="C58" s="16"/>
      <c r="D58" s="15"/>
      <c r="E58" s="15"/>
      <c r="F58" s="16"/>
      <c r="I58" s="15"/>
    </row>
    <row r="59" spans="1:12" x14ac:dyDescent="0.45">
      <c r="A59" s="16"/>
      <c r="B59" s="19"/>
      <c r="C59" s="16"/>
      <c r="D59" s="15"/>
      <c r="E59" s="15"/>
      <c r="F59" s="16"/>
      <c r="I59" s="15"/>
    </row>
    <row r="60" spans="1:12" x14ac:dyDescent="0.45">
      <c r="A60" s="16"/>
      <c r="B60" s="19"/>
      <c r="C60" s="16"/>
      <c r="D60" s="15"/>
      <c r="E60" s="15"/>
      <c r="F60" s="16"/>
      <c r="I60" s="15"/>
    </row>
    <row r="61" spans="1:12" x14ac:dyDescent="0.45">
      <c r="A61" s="16"/>
      <c r="B61" s="19"/>
      <c r="C61" s="16"/>
      <c r="D61" s="15"/>
      <c r="E61" s="15"/>
      <c r="F61" s="16"/>
      <c r="I61" s="15"/>
    </row>
    <row r="62" spans="1:12" x14ac:dyDescent="0.45">
      <c r="A62" s="16"/>
      <c r="B62" s="19"/>
      <c r="C62" s="16"/>
      <c r="D62" s="15"/>
      <c r="E62" s="15"/>
      <c r="F62" s="16"/>
      <c r="I62" s="15"/>
    </row>
    <row r="63" spans="1:12" x14ac:dyDescent="0.45">
      <c r="A63" s="16"/>
      <c r="B63" s="19"/>
      <c r="C63" s="16"/>
      <c r="D63" s="15"/>
      <c r="E63" s="15"/>
      <c r="F63" s="16"/>
      <c r="I63" s="15"/>
    </row>
    <row r="64" spans="1:12" x14ac:dyDescent="0.45">
      <c r="A64" s="16"/>
      <c r="B64" s="19"/>
      <c r="C64" s="16"/>
      <c r="D64" s="15"/>
      <c r="E64" s="15"/>
      <c r="F64" s="16"/>
      <c r="I64" s="15"/>
    </row>
    <row r="65" spans="1:9" x14ac:dyDescent="0.45">
      <c r="A65" s="16"/>
      <c r="B65" s="19"/>
      <c r="C65" s="16"/>
      <c r="D65" s="15"/>
      <c r="E65" s="15"/>
      <c r="F65" s="16"/>
      <c r="I65" s="15"/>
    </row>
    <row r="66" spans="1:9" x14ac:dyDescent="0.45">
      <c r="A66" s="16"/>
      <c r="B66" s="19"/>
      <c r="C66" s="16"/>
      <c r="D66" s="15"/>
      <c r="E66" s="15"/>
      <c r="F66" s="16"/>
      <c r="I66" s="15"/>
    </row>
    <row r="67" spans="1:9" x14ac:dyDescent="0.45">
      <c r="A67" s="16"/>
      <c r="B67" s="19"/>
      <c r="C67" s="16"/>
      <c r="D67" s="15"/>
      <c r="E67" s="15"/>
      <c r="F67" s="16"/>
      <c r="I67" s="15"/>
    </row>
    <row r="68" spans="1:9" x14ac:dyDescent="0.45">
      <c r="A68" s="16"/>
      <c r="B68" s="19"/>
      <c r="C68" s="16"/>
      <c r="D68" s="15"/>
      <c r="E68" s="15"/>
      <c r="F68" s="16"/>
      <c r="I68" s="15"/>
    </row>
    <row r="69" spans="1:9" x14ac:dyDescent="0.45">
      <c r="A69" s="16"/>
      <c r="B69" s="19"/>
      <c r="C69" s="16"/>
      <c r="D69" s="15"/>
      <c r="E69" s="15"/>
      <c r="F69" s="16"/>
      <c r="I69" s="15"/>
    </row>
    <row r="70" spans="1:9" x14ac:dyDescent="0.45">
      <c r="A70" s="16"/>
      <c r="B70" s="19"/>
      <c r="C70" s="16"/>
      <c r="D70" s="15"/>
      <c r="E70" s="15"/>
      <c r="F70" s="16"/>
      <c r="I70" s="15"/>
    </row>
    <row r="71" spans="1:9" x14ac:dyDescent="0.45">
      <c r="A71" s="16"/>
      <c r="B71" s="19"/>
      <c r="C71" s="16"/>
      <c r="D71" s="15"/>
      <c r="E71" s="15"/>
      <c r="F71" s="16"/>
      <c r="I71" s="15"/>
    </row>
    <row r="72" spans="1:9" x14ac:dyDescent="0.45">
      <c r="A72" s="16"/>
      <c r="B72" s="19"/>
      <c r="C72" s="16"/>
      <c r="D72" s="15"/>
      <c r="E72" s="15"/>
      <c r="F72" s="16"/>
      <c r="I72" s="15"/>
    </row>
    <row r="73" spans="1:9" x14ac:dyDescent="0.45">
      <c r="A73" s="16"/>
      <c r="B73" s="19"/>
      <c r="C73" s="16"/>
      <c r="D73" s="15"/>
      <c r="E73" s="15"/>
      <c r="F73" s="16"/>
      <c r="I73" s="15"/>
    </row>
    <row r="74" spans="1:9" x14ac:dyDescent="0.45">
      <c r="A74" s="16"/>
      <c r="B74" s="19"/>
      <c r="C74" s="16"/>
      <c r="D74" s="15"/>
      <c r="E74" s="15"/>
      <c r="F74" s="16"/>
      <c r="I74" s="15"/>
    </row>
    <row r="75" spans="1:9" x14ac:dyDescent="0.45">
      <c r="A75" s="16"/>
      <c r="B75" s="19"/>
      <c r="C75" s="16"/>
      <c r="D75" s="15"/>
      <c r="E75" s="15"/>
      <c r="F75" s="16"/>
      <c r="I75" s="15"/>
    </row>
    <row r="76" spans="1:9" x14ac:dyDescent="0.45">
      <c r="A76" s="16"/>
      <c r="B76" s="19"/>
      <c r="C76" s="16"/>
      <c r="D76" s="15"/>
      <c r="E76" s="15"/>
      <c r="F76" s="16"/>
      <c r="I76" s="15"/>
    </row>
    <row r="77" spans="1:9" x14ac:dyDescent="0.45">
      <c r="A77" s="16"/>
      <c r="B77" s="19"/>
      <c r="C77" s="16"/>
      <c r="D77" s="15"/>
      <c r="E77" s="15"/>
      <c r="F77" s="16"/>
      <c r="I77" s="15"/>
    </row>
    <row r="78" spans="1:9" x14ac:dyDescent="0.45">
      <c r="A78" s="15"/>
      <c r="B78" s="19"/>
      <c r="C78" s="16"/>
      <c r="D78" s="15"/>
      <c r="E78" s="15"/>
      <c r="F78" s="15"/>
      <c r="I78" s="15"/>
    </row>
    <row r="79" spans="1:9" x14ac:dyDescent="0.45">
      <c r="A79" s="15"/>
      <c r="B79" s="19"/>
      <c r="C79" s="16"/>
      <c r="D79" s="15"/>
      <c r="E79" s="15"/>
      <c r="F79" s="15"/>
      <c r="I79" s="15"/>
    </row>
    <row r="80" spans="1:9" x14ac:dyDescent="0.45">
      <c r="A80" s="15"/>
      <c r="B80" s="19"/>
      <c r="C80" s="16"/>
      <c r="D80" s="15"/>
      <c r="E80" s="15"/>
      <c r="F80" s="15"/>
      <c r="I80" s="15"/>
    </row>
    <row r="81" spans="1:9" x14ac:dyDescent="0.45">
      <c r="A81" s="15"/>
      <c r="B81" s="19"/>
      <c r="C81" s="16"/>
      <c r="D81" s="15"/>
      <c r="E81" s="15"/>
      <c r="F81" s="15"/>
      <c r="I81" s="15"/>
    </row>
  </sheetData>
  <sheetProtection algorithmName="SHA-512" hashValue="eZ3OKLjDb5KcfBhagqgZeMgOs6hRs3ribWe7jl/pHJLqS9XRdcowHRENCXuJbPD829wGY+vacSEt70OSrCGnBw==" saltValue="kdXP+MKBIUoNBDM5tXDz0g==" spinCount="100000" sheet="1" objects="1" scenarios="1"/>
  <mergeCells count="3">
    <mergeCell ref="K2:L3"/>
    <mergeCell ref="B3:B4"/>
    <mergeCell ref="I3:J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Alkali Properties</vt:lpstr>
      <vt:lpstr>Net H+ Production</vt:lpstr>
      <vt:lpstr>Aquifer Buffering Capacity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Borden</dc:creator>
  <cp:lastModifiedBy>Robert Borden</cp:lastModifiedBy>
  <dcterms:created xsi:type="dcterms:W3CDTF">2009-02-08T12:27:37Z</dcterms:created>
  <dcterms:modified xsi:type="dcterms:W3CDTF">2018-12-17T19:52:39Z</dcterms:modified>
</cp:coreProperties>
</file>